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ikko.tapionlinna/Downloads/"/>
    </mc:Choice>
  </mc:AlternateContent>
  <xr:revisionPtr revIDLastSave="0" documentId="8_{9DD6D49A-9123-AE45-8503-F1D27EA76D73}" xr6:coauthVersionLast="47" xr6:coauthVersionMax="47" xr10:uidLastSave="{00000000-0000-0000-0000-000000000000}"/>
  <bookViews>
    <workbookView xWindow="-51200" yWindow="-5960" windowWidth="51200" windowHeight="28300" xr2:uid="{294FEC77-9030-6B41-B8BF-829AEDD635F3}"/>
  </bookViews>
  <sheets>
    <sheet name="Satamaraportti" sheetId="1" r:id="rId1"/>
    <sheet name="Liikennetyyppi" sheetId="10" state="hidden" r:id="rId2"/>
    <sheet name="Tavararyhmä" sheetId="2" state="hidden" r:id="rId3"/>
    <sheet name="Kauttakulku" sheetId="3" state="hidden" r:id="rId4"/>
    <sheet name="Kuljetusyksikkötyyppi" sheetId="5" state="hidden" r:id="rId5"/>
    <sheet name="MMSI_MID" sheetId="11" state="hidden" r:id="rId6"/>
  </sheets>
  <definedNames>
    <definedName name="choose">Kauttakulku!$A$5</definedName>
    <definedName name="emptyCont">Tavararyhmä!$A$45</definedName>
    <definedName name="Kuljetusyksikkötyyppi">Kuljetusyksikkötyyppi!$A$2:$A$16</definedName>
    <definedName name="Liikennetyyppi">Liikennetyyppi!$A$2:$A$3</definedName>
    <definedName name="na">Kauttakulku!$A$4</definedName>
    <definedName name="Tavararyhmä">Tavararyhmä!$A$2:$A$48</definedName>
    <definedName name="yesNo">Kauttakulku!$A$2:$A$3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1" l="1"/>
  <c r="D351" i="1"/>
  <c r="B351" i="1"/>
  <c r="F350" i="1"/>
  <c r="F349" i="1"/>
  <c r="F348" i="1"/>
  <c r="F347" i="1"/>
  <c r="F346" i="1"/>
  <c r="A342" i="1"/>
  <c r="E341" i="1"/>
  <c r="D341" i="1"/>
  <c r="B341" i="1"/>
  <c r="F340" i="1"/>
  <c r="F339" i="1"/>
  <c r="F338" i="1"/>
  <c r="F337" i="1"/>
  <c r="F336" i="1"/>
  <c r="E317" i="1"/>
  <c r="D317" i="1"/>
  <c r="B317" i="1"/>
  <c r="F316" i="1"/>
  <c r="F315" i="1"/>
  <c r="F314" i="1"/>
  <c r="F313" i="1"/>
  <c r="F312" i="1"/>
  <c r="A308" i="1"/>
  <c r="E307" i="1"/>
  <c r="D307" i="1"/>
  <c r="B307" i="1"/>
  <c r="F306" i="1"/>
  <c r="F305" i="1"/>
  <c r="F304" i="1"/>
  <c r="F303" i="1"/>
  <c r="F302" i="1"/>
  <c r="E283" i="1"/>
  <c r="D283" i="1"/>
  <c r="B283" i="1"/>
  <c r="F282" i="1"/>
  <c r="F281" i="1"/>
  <c r="F280" i="1"/>
  <c r="F279" i="1"/>
  <c r="F278" i="1"/>
  <c r="A274" i="1"/>
  <c r="E273" i="1"/>
  <c r="D273" i="1"/>
  <c r="B273" i="1"/>
  <c r="F272" i="1"/>
  <c r="F271" i="1"/>
  <c r="F270" i="1"/>
  <c r="F269" i="1"/>
  <c r="F268" i="1"/>
  <c r="E249" i="1"/>
  <c r="D249" i="1"/>
  <c r="B249" i="1"/>
  <c r="F248" i="1"/>
  <c r="F247" i="1"/>
  <c r="F246" i="1"/>
  <c r="F245" i="1"/>
  <c r="F244" i="1"/>
  <c r="A240" i="1"/>
  <c r="E239" i="1"/>
  <c r="D239" i="1"/>
  <c r="B239" i="1"/>
  <c r="F238" i="1"/>
  <c r="F237" i="1"/>
  <c r="F236" i="1"/>
  <c r="F235" i="1"/>
  <c r="F234" i="1"/>
  <c r="E215" i="1"/>
  <c r="D215" i="1"/>
  <c r="B215" i="1"/>
  <c r="F214" i="1"/>
  <c r="F213" i="1"/>
  <c r="F212" i="1"/>
  <c r="F211" i="1"/>
  <c r="F210" i="1"/>
  <c r="A206" i="1"/>
  <c r="E205" i="1"/>
  <c r="D205" i="1"/>
  <c r="B205" i="1"/>
  <c r="F204" i="1"/>
  <c r="F203" i="1"/>
  <c r="F202" i="1"/>
  <c r="F201" i="1"/>
  <c r="F200" i="1"/>
  <c r="E181" i="1"/>
  <c r="D181" i="1"/>
  <c r="B181" i="1"/>
  <c r="F180" i="1"/>
  <c r="F179" i="1"/>
  <c r="F178" i="1"/>
  <c r="F177" i="1"/>
  <c r="F176" i="1"/>
  <c r="A172" i="1"/>
  <c r="E171" i="1"/>
  <c r="D171" i="1"/>
  <c r="B171" i="1"/>
  <c r="F170" i="1"/>
  <c r="F169" i="1"/>
  <c r="F168" i="1"/>
  <c r="F167" i="1"/>
  <c r="F166" i="1"/>
  <c r="E147" i="1"/>
  <c r="D147" i="1"/>
  <c r="B147" i="1"/>
  <c r="F146" i="1"/>
  <c r="F145" i="1"/>
  <c r="F144" i="1"/>
  <c r="F143" i="1"/>
  <c r="F142" i="1"/>
  <c r="A138" i="1"/>
  <c r="E137" i="1"/>
  <c r="D137" i="1"/>
  <c r="B137" i="1"/>
  <c r="F136" i="1"/>
  <c r="F135" i="1"/>
  <c r="F134" i="1"/>
  <c r="F133" i="1"/>
  <c r="F132" i="1"/>
  <c r="E113" i="1"/>
  <c r="D113" i="1"/>
  <c r="B113" i="1"/>
  <c r="F112" i="1"/>
  <c r="F111" i="1"/>
  <c r="F110" i="1"/>
  <c r="F109" i="1"/>
  <c r="F108" i="1"/>
  <c r="A104" i="1"/>
  <c r="E103" i="1"/>
  <c r="D103" i="1"/>
  <c r="B103" i="1"/>
  <c r="F102" i="1"/>
  <c r="F101" i="1"/>
  <c r="F100" i="1"/>
  <c r="F99" i="1"/>
  <c r="F98" i="1"/>
  <c r="E79" i="1"/>
  <c r="D79" i="1"/>
  <c r="B79" i="1"/>
  <c r="F78" i="1"/>
  <c r="F77" i="1"/>
  <c r="F76" i="1"/>
  <c r="F75" i="1"/>
  <c r="F74" i="1"/>
  <c r="A70" i="1"/>
  <c r="E69" i="1"/>
  <c r="D69" i="1"/>
  <c r="B69" i="1"/>
  <c r="F68" i="1"/>
  <c r="F67" i="1"/>
  <c r="F66" i="1"/>
  <c r="F65" i="1"/>
  <c r="F64" i="1"/>
  <c r="F40" i="1"/>
  <c r="F41" i="1"/>
  <c r="F42" i="1"/>
  <c r="F43" i="1"/>
  <c r="F44" i="1"/>
  <c r="F34" i="1"/>
  <c r="F33" i="1"/>
  <c r="F32" i="1"/>
  <c r="F31" i="1"/>
  <c r="F30" i="1"/>
  <c r="E45" i="1" l="1"/>
  <c r="D45" i="1"/>
  <c r="B45" i="1"/>
  <c r="A36" i="1"/>
  <c r="E35" i="1"/>
  <c r="B35" i="1"/>
  <c r="D35" i="1"/>
</calcChain>
</file>

<file path=xl/sharedStrings.xml><?xml version="1.0" encoding="utf-8"?>
<sst xmlns="http://schemas.openxmlformats.org/spreadsheetml/2006/main" count="610" uniqueCount="132">
  <si>
    <r>
      <t>Satamaraportti</t>
    </r>
    <r>
      <rPr>
        <sz val="18"/>
        <color rgb="FF000000"/>
        <rFont val="Calibri"/>
        <family val="2"/>
      </rPr>
      <t xml:space="preserve"> </t>
    </r>
  </si>
  <si>
    <r>
      <t>Ohje</t>
    </r>
    <r>
      <rPr>
        <sz val="12"/>
        <color rgb="FF404040"/>
        <rFont val="Aptos Narrow"/>
        <scheme val="minor"/>
      </rPr>
      <t>: Jokaisen satamakäynnin lastitiedot voi laajentaa vasemmalla näkyvästä +-painikkeesta.</t>
    </r>
  </si>
  <si>
    <t>Jos haluat lisätä enemmän satamakäyntejä, valitse rivit 13-46, kopioi ja liitä viimeisen satamakäynnin perään.</t>
  </si>
  <si>
    <t>Pinkit ruudut ovat pakollisia tai niissä on virhe syötetyssä datassa.</t>
  </si>
  <si>
    <t>Raportin perustiedot</t>
  </si>
  <si>
    <t>MLT-011</t>
  </si>
  <si>
    <t>MLT-015</t>
  </si>
  <si>
    <t>MLT2 raportoinnin tyyppi</t>
  </si>
  <si>
    <t>MLT2 pohjan versionumero</t>
  </si>
  <si>
    <t>Port</t>
  </si>
  <si>
    <t>MLT-010</t>
  </si>
  <si>
    <t>MLT-120</t>
  </si>
  <si>
    <t>Raportoija</t>
  </si>
  <si>
    <t>Raportointisatama</t>
  </si>
  <si>
    <t>Mitä kuuta raportointi koskee</t>
  </si>
  <si>
    <t>Satamakäynti</t>
  </si>
  <si>
    <t>MLT-100</t>
  </si>
  <si>
    <t>MLT-130</t>
  </si>
  <si>
    <t>MLT-131</t>
  </si>
  <si>
    <t>Visit ID</t>
  </si>
  <si>
    <t>Saapumisaika (ATA)</t>
  </si>
  <si>
    <t>Lähtöaika (ATD)</t>
  </si>
  <si>
    <t>MLT-113</t>
  </si>
  <si>
    <t>MLT-110</t>
  </si>
  <si>
    <t>MLT-111</t>
  </si>
  <si>
    <t>MLT-112</t>
  </si>
  <si>
    <t>Aluksen nimi</t>
  </si>
  <si>
    <t>Aluksen IMO</t>
  </si>
  <si>
    <t>Aluksen MMSI</t>
  </si>
  <si>
    <t>Aluksen kutsutunnus</t>
  </si>
  <si>
    <t>MLT-180</t>
  </si>
  <si>
    <t>MLT-181</t>
  </si>
  <si>
    <t>MLT-191</t>
  </si>
  <si>
    <t>MLT-192</t>
  </si>
  <si>
    <t>Risteilymatkustajien lkm.</t>
  </si>
  <si>
    <t>Maissakäyvien risteilymatkustajien lkm.</t>
  </si>
  <si>
    <t>Laiva saapuu</t>
  </si>
  <si>
    <t>Laiva lähtee</t>
  </si>
  <si>
    <t>Lasti</t>
  </si>
  <si>
    <t>Saapuva lasti</t>
  </si>
  <si>
    <t>MLT-410</t>
  </si>
  <si>
    <t>MLT-420</t>
  </si>
  <si>
    <t>MLT-430</t>
  </si>
  <si>
    <t>MLT-440</t>
  </si>
  <si>
    <t>MLT-450</t>
  </si>
  <si>
    <t>Tavararyhmä</t>
  </si>
  <si>
    <t>Kauttakulku</t>
  </si>
  <si>
    <t>Kuljetusyksikkötyyppi</t>
  </si>
  <si>
    <t>Lukumäärä</t>
  </si>
  <si>
    <t>Bruttopaino</t>
  </si>
  <si>
    <t>Ohjeet</t>
  </si>
  <si>
    <t>Yhteensä</t>
  </si>
  <si>
    <t>Lähtevä lasti</t>
  </si>
  <si>
    <t>MLT-510</t>
  </si>
  <si>
    <t>MLT-520</t>
  </si>
  <si>
    <t>MLT-530</t>
  </si>
  <si>
    <t>MLT-540</t>
  </si>
  <si>
    <t>MLT-550</t>
  </si>
  <si>
    <t>Liikennetyyppi</t>
  </si>
  <si>
    <t>kotimaan liikenteessä</t>
  </si>
  <si>
    <t>ulkomaan liikenteessä</t>
  </si>
  <si>
    <t>Huom</t>
  </si>
  <si>
    <t>Eläinten rehu</t>
  </si>
  <si>
    <t>Elävät eläimet</t>
  </si>
  <si>
    <t>Elintarvikkeet</t>
  </si>
  <si>
    <t>Erittelemätön kappaletavara</t>
  </si>
  <si>
    <t>Jätteet</t>
  </si>
  <si>
    <t>Kalkki</t>
  </si>
  <si>
    <t>Kartonki</t>
  </si>
  <si>
    <t>Kasviöljyt, eläinrasvat</t>
  </si>
  <si>
    <t>Keramiikkatuotteet</t>
  </si>
  <si>
    <t>Kierrätysmateriaalit</t>
  </si>
  <si>
    <t>Kivihiili</t>
  </si>
  <si>
    <t>Koksi</t>
  </si>
  <si>
    <t>Koneet, laitteet</t>
  </si>
  <si>
    <t>Lannoitteet</t>
  </si>
  <si>
    <t>Lasi</t>
  </si>
  <si>
    <t>Mineraalituotteet</t>
  </si>
  <si>
    <t>Muu malmi rikaste</t>
  </si>
  <si>
    <t>Muut kemialliset tuotteet</t>
  </si>
  <si>
    <t>Muut luokittelemattomat tuotteet</t>
  </si>
  <si>
    <t>Muut metallituotteet</t>
  </si>
  <si>
    <t>Muut puulevyt</t>
  </si>
  <si>
    <t>Muut puuteollisuuden tuotteet</t>
  </si>
  <si>
    <t>Muut teollisuuden tuotteet</t>
  </si>
  <si>
    <t>Myytäväksi kuljetetut moottoriajoneuvot</t>
  </si>
  <si>
    <t>Nahat</t>
  </si>
  <si>
    <t>Nestekaasu</t>
  </si>
  <si>
    <t>Öljytuotteet</t>
  </si>
  <si>
    <t>Paperi</t>
  </si>
  <si>
    <t>Peruskemikaalit</t>
  </si>
  <si>
    <t>Perusmetallit, metallituotteet</t>
  </si>
  <si>
    <t>Puuhioke</t>
  </si>
  <si>
    <t>Raakamineraalit</t>
  </si>
  <si>
    <t>Raakaöljy</t>
  </si>
  <si>
    <t>Raakapuu</t>
  </si>
  <si>
    <t>Rautamalmi, rikaste</t>
  </si>
  <si>
    <t>Sahatavara</t>
  </si>
  <si>
    <t>Sellu</t>
  </si>
  <si>
    <t>Sementti</t>
  </si>
  <si>
    <t>Sokerijuurikas</t>
  </si>
  <si>
    <t>Tekstiiliraaka-aineet</t>
  </si>
  <si>
    <t>Tekstiilit</t>
  </si>
  <si>
    <t>Tuoreet hedelmät</t>
  </si>
  <si>
    <t>Turve</t>
  </si>
  <si>
    <t>Tyhjä kuljetusyksikkö</t>
  </si>
  <si>
    <t>Muista päivittää Name manager: emptyCont jos Tyhjä kuljetusyksikkö siirtyy eri kohtaan.</t>
  </si>
  <si>
    <t>Vaneri</t>
  </si>
  <si>
    <t>Vihannekset</t>
  </si>
  <si>
    <t>Vilja</t>
  </si>
  <si>
    <t>Kyllä</t>
  </si>
  <si>
    <t>Ei</t>
  </si>
  <si>
    <t>Ei koske</t>
  </si>
  <si>
    <t>Valitse ensin Tavararyhmä</t>
  </si>
  <si>
    <t>20' Kontti</t>
  </si>
  <si>
    <t>20'-40' Kontti</t>
  </si>
  <si>
    <t>40' Kontti</t>
  </si>
  <si>
    <t>Muu kontti</t>
  </si>
  <si>
    <t>SECU</t>
  </si>
  <si>
    <t>Perävaunu</t>
  </si>
  <si>
    <t>Puoliperävaunu</t>
  </si>
  <si>
    <t>Kuorma-auto</t>
  </si>
  <si>
    <t>Ajoneuvoyhdistelmä</t>
  </si>
  <si>
    <t>Lastiruuma</t>
  </si>
  <si>
    <t>Lauttavaunu</t>
  </si>
  <si>
    <t>Proomu</t>
  </si>
  <si>
    <t>&gt; 40' Kontti</t>
  </si>
  <si>
    <t>Lastisäiliö</t>
  </si>
  <si>
    <t>Muu alustunniste</t>
  </si>
  <si>
    <t>MLT-114</t>
  </si>
  <si>
    <t>Rautatievaunu</t>
  </si>
  <si>
    <t>1.0.1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</si>
</sst>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\ \k\p\l"/>
    <numFmt numFmtId="165" formatCode="0&quot; kg&quot;"/>
    <numFmt numFmtId="166" formatCode="yyyy\-mm\-dd;@"/>
    <numFmt numFmtId="167" formatCode="yyyy\-mm\-dd\ hh:mm;@"/>
  </numFmts>
  <fonts count="17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8"/>
      <color rgb="FF000000"/>
      <name val="Calibri"/>
      <family val="2"/>
    </font>
    <font>
      <sz val="18"/>
      <color rgb="FF000000"/>
      <name val="Aptos Narrow"/>
      <family val="2"/>
      <scheme val="minor"/>
    </font>
    <font>
      <sz val="12"/>
      <color rgb="FF404040"/>
      <name val="Aptos Narrow"/>
      <scheme val="minor"/>
    </font>
    <font>
      <b/>
      <sz val="12"/>
      <color rgb="FF404040"/>
      <name val="Aptos Narrow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808080"/>
      <name val="Aptos Narrow"/>
      <family val="2"/>
      <scheme val="minor"/>
    </font>
    <font>
      <sz val="12"/>
      <color rgb="FF000000"/>
      <name val="Aptos Narrow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/>
    <xf numFmtId="0" fontId="16" fillId="0" borderId="0" xfId="0" applyFont="1"/>
    <xf numFmtId="0" fontId="4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5" fillId="3" borderId="0" xfId="0" applyFont="1" applyFill="1" applyAlignment="1" applyProtection="1">
      <alignment horizontal="left" vertical="top"/>
    </xf>
    <xf numFmtId="0" fontId="3" fillId="3" borderId="0" xfId="0" applyFont="1" applyFill="1" applyAlignment="1" applyProtection="1">
      <alignment vertical="center"/>
    </xf>
    <xf numFmtId="0" fontId="1" fillId="6" borderId="0" xfId="0" applyFont="1" applyFill="1" applyAlignment="1" applyProtection="1">
      <alignment horizontal="left" vertical="top" wrapText="1"/>
    </xf>
    <xf numFmtId="0" fontId="1" fillId="6" borderId="0" xfId="0" applyFont="1" applyFill="1" applyAlignment="1" applyProtection="1">
      <alignment horizontal="center" vertical="top" wrapText="1"/>
    </xf>
    <xf numFmtId="0" fontId="2" fillId="6" borderId="0" xfId="0" applyFont="1" applyFill="1" applyAlignment="1" applyProtection="1">
      <alignment horizontal="center" vertical="top" wrapText="1"/>
    </xf>
    <xf numFmtId="0" fontId="2" fillId="6" borderId="0" xfId="0" applyFont="1" applyFill="1" applyAlignment="1" applyProtection="1">
      <alignment vertical="top" wrapText="1"/>
    </xf>
    <xf numFmtId="0" fontId="2" fillId="6" borderId="0" xfId="0" applyFont="1" applyFill="1" applyProtection="1"/>
    <xf numFmtId="0" fontId="9" fillId="3" borderId="0" xfId="0" applyFont="1" applyFill="1" applyAlignment="1" applyProtection="1">
      <alignment horizontal="center" vertical="top" wrapText="1"/>
    </xf>
    <xf numFmtId="0" fontId="7" fillId="3" borderId="0" xfId="0" applyFont="1" applyFill="1" applyAlignment="1" applyProtection="1">
      <alignment horizontal="center" vertical="top" wrapText="1"/>
    </xf>
    <xf numFmtId="0" fontId="7" fillId="3" borderId="0" xfId="0" applyFont="1" applyFill="1" applyAlignment="1" applyProtection="1">
      <alignment vertical="top" wrapText="1"/>
    </xf>
    <xf numFmtId="0" fontId="8" fillId="2" borderId="0" xfId="0" applyFont="1" applyFill="1" applyAlignment="1" applyProtection="1">
      <alignment horizontal="center" vertical="top" wrapText="1"/>
    </xf>
    <xf numFmtId="0" fontId="8" fillId="3" borderId="0" xfId="0" applyFont="1" applyFill="1" applyAlignment="1" applyProtection="1">
      <alignment horizontal="center" vertical="top" wrapText="1"/>
    </xf>
    <xf numFmtId="0" fontId="8" fillId="3" borderId="0" xfId="0" applyFont="1" applyFill="1" applyAlignment="1" applyProtection="1">
      <alignment vertical="top" wrapText="1"/>
    </xf>
    <xf numFmtId="0" fontId="9" fillId="3" borderId="0" xfId="0" applyFont="1" applyFill="1" applyAlignment="1" applyProtection="1">
      <alignment horizontal="left" vertical="top" wrapText="1"/>
    </xf>
    <xf numFmtId="0" fontId="1" fillId="4" borderId="0" xfId="0" applyFont="1" applyFill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center" vertical="top"/>
    </xf>
    <xf numFmtId="0" fontId="8" fillId="3" borderId="0" xfId="0" applyFont="1" applyFill="1" applyAlignment="1" applyProtection="1">
      <alignment horizontal="left" vertical="top" wrapText="1"/>
    </xf>
    <xf numFmtId="0" fontId="11" fillId="5" borderId="0" xfId="0" applyFont="1" applyFill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top" wrapText="1"/>
    </xf>
    <xf numFmtId="0" fontId="12" fillId="0" borderId="0" xfId="0" applyFont="1" applyProtection="1"/>
    <xf numFmtId="0" fontId="0" fillId="0" borderId="0" xfId="0" applyProtection="1"/>
    <xf numFmtId="0" fontId="12" fillId="3" borderId="0" xfId="0" applyFont="1" applyFill="1" applyAlignment="1" applyProtection="1">
      <alignment horizontal="center" vertical="top" wrapText="1"/>
    </xf>
    <xf numFmtId="164" fontId="12" fillId="3" borderId="0" xfId="0" applyNumberFormat="1" applyFont="1" applyFill="1" applyAlignment="1" applyProtection="1">
      <alignment horizontal="center" vertical="top" wrapText="1"/>
    </xf>
    <xf numFmtId="165" fontId="12" fillId="3" borderId="0" xfId="0" applyNumberFormat="1" applyFont="1" applyFill="1" applyAlignment="1" applyProtection="1">
      <alignment horizontal="center" vertical="top" wrapText="1"/>
    </xf>
    <xf numFmtId="0" fontId="12" fillId="3" borderId="0" xfId="0" applyFont="1" applyFill="1" applyProtection="1"/>
    <xf numFmtId="0" fontId="8" fillId="0" borderId="1" xfId="0" applyFont="1" applyBorder="1" applyAlignment="1" applyProtection="1">
      <alignment horizontal="center" vertical="top" wrapText="1"/>
      <protection locked="0"/>
    </xf>
    <xf numFmtId="166" fontId="10" fillId="0" borderId="1" xfId="0" applyNumberFormat="1" applyFont="1" applyBorder="1" applyAlignment="1" applyProtection="1">
      <alignment horizontal="center" vertical="top" wrapText="1"/>
      <protection locked="0"/>
    </xf>
    <xf numFmtId="167" fontId="10" fillId="0" borderId="1" xfId="0" applyNumberFormat="1" applyFont="1" applyBorder="1" applyAlignment="1" applyProtection="1">
      <alignment horizontal="center" vertical="top" wrapText="1"/>
      <protection locked="0"/>
    </xf>
    <xf numFmtId="49" fontId="8" fillId="0" borderId="1" xfId="0" applyNumberFormat="1" applyFont="1" applyBorder="1" applyAlignment="1" applyProtection="1">
      <alignment horizontal="center" vertical="top" wrapText="1"/>
      <protection locked="0"/>
    </xf>
    <xf numFmtId="49" fontId="8" fillId="0" borderId="1" xfId="0" quotePrefix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164" fontId="0" fillId="0" borderId="0" xfId="0" applyNumberFormat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alignment horizontal="center" vertical="top" wrapTex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405"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numFmt numFmtId="165" formatCode="0&quot; kg&quot;"/>
      <alignment horizontal="center" vertical="top" textRotation="0" wrapText="1" indent="0" justifyLastLine="0" shrinkToFit="0" readingOrder="0"/>
      <protection locked="0" hidden="0"/>
    </dxf>
    <dxf>
      <numFmt numFmtId="164" formatCode="0\ \k\p\l"/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numFmt numFmtId="164" formatCode="0\ \k\p\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165" formatCode="0&quot; kg&quot;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  <border>
        <right/>
        <top/>
        <bottom/>
        <vertical/>
        <horizontal style="thin">
          <color theme="3" tint="0.89996032593768116"/>
        </horizontal>
      </border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3" tint="0.24994659260841701"/>
        </patternFill>
      </fill>
    </dxf>
    <dxf>
      <border>
        <left style="thin">
          <color auto="1"/>
        </lef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Cargo table style" pivot="0" count="5" xr9:uid="{1F40A1A1-E2B4-4446-A0ED-399E3675EBBD}">
      <tableStyleElement type="wholeTable" dxfId="404"/>
      <tableStyleElement type="headerRow" dxfId="403"/>
      <tableStyleElement type="totalRow" dxfId="402"/>
      <tableStyleElement type="lastColumn" dxfId="401"/>
      <tableStyleElement type="lastHeaderCell" dxfId="40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626638-0EDB-7943-A1D5-654115C643D5}" name="Table1" displayName="Table1" ref="A29:F35" totalsRowCount="1" headerRowDxfId="292" dataDxfId="290" totalsRowDxfId="291">
  <autoFilter ref="A29:F34" xr:uid="{08626638-0EDB-7943-A1D5-654115C643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CD007EB-D28A-7846-AE7C-8F06231FD05F}" name="Tavararyhmä" totalsRowLabel="Yhteensä" dataDxfId="299" totalsRowDxfId="99"/>
    <tableColumn id="2" xr3:uid="{FF79E22A-4C9A-2948-8D50-EBCBD749D59C}" name="Kauttakulku" totalsRowFunction="custom" dataDxfId="298" totalsRowDxfId="98">
      <totalsRowFormula>COUNTIF(Table1[Kauttakulku],"Kyllä")</totalsRowFormula>
    </tableColumn>
    <tableColumn id="3" xr3:uid="{7D88297A-7393-E94C-BD21-3A53D4DFBD54}" name="Kuljetusyksikkötyyppi" dataDxfId="297" totalsRowDxfId="97"/>
    <tableColumn id="4" xr3:uid="{E5FF04F3-D345-E14F-B38C-5932B7DF8B42}" name="Lukumäärä" totalsRowFunction="sum" dataDxfId="296" totalsRowDxfId="96"/>
    <tableColumn id="5" xr3:uid="{F9BAF5DF-B566-384A-84D4-4E868C99279B}" name="Bruttopaino" totalsRowFunction="sum" dataDxfId="295" totalsRowDxfId="95"/>
    <tableColumn id="6" xr3:uid="{5D5542D4-7001-9843-AE0C-5C99DD6A3221}" name="Ohjeet" dataDxfId="294" totalsRowDxfId="293">
      <calculatedColumnFormula>_xlfn.LET(
  _xlpm.ryhma, Table1[[#This Row],[Tavararyhmä]],
  _xlpm.kauttakulku, Table1[[#This Row],[Kauttakulku]],
  _xlpm.tyyppi, Table1[[#This Row],[Kuljetusyksikkötyyppi]],
  _xlpm.lkm, Table1[[#This Row],[Lukumäärä]],
  _xlpm.paino, Table1[[#This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1952CB6-E286-2749-945D-F53D6D68818D}" name="Table1711" displayName="Table1711" ref="A175:F181" totalsRowCount="1" headerRowDxfId="202" dataDxfId="200" totalsRowDxfId="201">
  <autoFilter ref="A175:F180" xr:uid="{81952CB6-E286-2749-945D-F53D6D68818D}"/>
  <tableColumns count="6">
    <tableColumn id="1" xr3:uid="{EA710128-D1BA-AA4E-ADCA-D4D45CB28F57}" name="Tavararyhmä" totalsRowLabel="Yhteensä" dataDxfId="209" totalsRowDxfId="54"/>
    <tableColumn id="2" xr3:uid="{9884963C-C616-6847-85D1-AADE4E9D680F}" name="Kauttakulku" totalsRowFunction="custom" dataDxfId="208" totalsRowDxfId="53">
      <totalsRowFormula>COUNTIF(Table1711[Kauttakulku],"Kyllä")</totalsRowFormula>
    </tableColumn>
    <tableColumn id="3" xr3:uid="{3D2E5DBF-CAC3-574C-981A-8FB9618708CD}" name="Kuljetusyksikkötyyppi" dataDxfId="207" totalsRowDxfId="52"/>
    <tableColumn id="4" xr3:uid="{E241E315-800E-0240-AF61-B113C73A9FA5}" name="Lukumäärä" totalsRowFunction="sum" dataDxfId="206" totalsRowDxfId="51"/>
    <tableColumn id="5" xr3:uid="{58AC54D1-4A20-1C49-A628-B5F31D2E06D8}" name="Bruttopaino" totalsRowFunction="sum" dataDxfId="205" totalsRowDxfId="50"/>
    <tableColumn id="6" xr3:uid="{5B60C930-B7C8-1E49-B5A2-02398E98522C}" name="Ohjeet" dataDxfId="204" totalsRowDxfId="203">
      <calculatedColumnFormula>_xlfn.LET(
  _xlpm.ryhma, Table1711[[#This Row],[Tavararyhmä]],
  _xlpm.kauttakulku, Table1711[[#This Row],[Kauttakulku]],
  _xlpm.tyyppi, Table1711[[#This Row],[Kuljetusyksikkötyyppi]],
  _xlpm.lkm, Table1711[[#This Row],[Lukumäärä]],
  _xlpm.paino, Table1711[[#This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7288E75-9FAB-2346-AF24-37DF68082BF2}" name="Table112" displayName="Table112" ref="A199:F205" totalsRowCount="1" headerRowDxfId="192" dataDxfId="190" totalsRowDxfId="191">
  <autoFilter ref="A199:F204" xr:uid="{F7288E75-9FAB-2346-AF24-37DF68082BF2}"/>
  <tableColumns count="6">
    <tableColumn id="1" xr3:uid="{BD3B13E3-DB6F-7A4B-98A1-9B40E0736A9B}" name="Tavararyhmä" totalsRowLabel="Yhteensä" dataDxfId="199" totalsRowDxfId="49"/>
    <tableColumn id="2" xr3:uid="{D6DBCFE3-748B-DE41-A180-6790DB552B2E}" name="Kauttakulku" totalsRowFunction="custom" dataDxfId="198" totalsRowDxfId="48">
      <totalsRowFormula>COUNTIF(Table112[Kauttakulku],"Kyllä")</totalsRowFormula>
    </tableColumn>
    <tableColumn id="3" xr3:uid="{0A019ACB-9172-4040-932D-BFCCEB0EDC50}" name="Kuljetusyksikkötyyppi" dataDxfId="197" totalsRowDxfId="47"/>
    <tableColumn id="4" xr3:uid="{809B5B39-DF29-2540-B595-501F70A9AE03}" name="Lukumäärä" totalsRowFunction="sum" dataDxfId="196" totalsRowDxfId="46"/>
    <tableColumn id="5" xr3:uid="{04113E58-F7C6-074D-914C-1B9F943FBD2E}" name="Bruttopaino" totalsRowFunction="sum" dataDxfId="195" totalsRowDxfId="45"/>
    <tableColumn id="6" xr3:uid="{1F0F08F3-69E4-EA4D-B752-6C1A4C93CC2F}" name="Ohjeet" dataDxfId="194" totalsRowDxfId="193">
      <calculatedColumnFormula>_xlfn.LET(
  _xlpm.ryhma, Table112[[#This Row],[Tavararyhmä]],
  _xlpm.kauttakulku, Table112[[#This Row],[Kauttakulku]],
  _xlpm.tyyppi, Table112[[#This Row],[Kuljetusyksikkötyyppi]],
  _xlpm.lkm, Table112[[#This Row],[Lukumäärä]],
  _xlpm.paino, Table112[[#This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18B4863-1F3A-AB4F-B6C6-0C98AA8E3A9E}" name="Table1713" displayName="Table1713" ref="A209:F215" totalsRowCount="1" headerRowDxfId="182" dataDxfId="180" totalsRowDxfId="181">
  <autoFilter ref="A209:F214" xr:uid="{D18B4863-1F3A-AB4F-B6C6-0C98AA8E3A9E}"/>
  <tableColumns count="6">
    <tableColumn id="1" xr3:uid="{EA0753D1-B6C5-9541-BC56-B23BF6E9F3FE}" name="Tavararyhmä" totalsRowLabel="Yhteensä" dataDxfId="189" totalsRowDxfId="44"/>
    <tableColumn id="2" xr3:uid="{3791B167-B44E-B74C-B545-7DFBEBCBB237}" name="Kauttakulku" totalsRowFunction="custom" dataDxfId="188" totalsRowDxfId="43">
      <totalsRowFormula>COUNTIF(Table1713[Kauttakulku],"Kyllä")</totalsRowFormula>
    </tableColumn>
    <tableColumn id="3" xr3:uid="{F1FD5655-2AD8-A540-9D3A-07F9FCDC491D}" name="Kuljetusyksikkötyyppi" dataDxfId="187" totalsRowDxfId="42"/>
    <tableColumn id="4" xr3:uid="{68EF0281-6D97-5A4B-B819-D4C2FBB38C3A}" name="Lukumäärä" totalsRowFunction="sum" dataDxfId="186" totalsRowDxfId="41"/>
    <tableColumn id="5" xr3:uid="{2044A2AD-CC80-4E49-B4B9-ED6E5DC31FD5}" name="Bruttopaino" totalsRowFunction="sum" dataDxfId="185" totalsRowDxfId="40"/>
    <tableColumn id="6" xr3:uid="{F5F3AA11-6C8C-C641-892D-95CCDC48F36B}" name="Ohjeet" dataDxfId="184" totalsRowDxfId="183">
      <calculatedColumnFormula>_xlfn.LET(
  _xlpm.ryhma, Table1713[[#This Row],[Tavararyhmä]],
  _xlpm.kauttakulku, Table1713[[#This Row],[Kauttakulku]],
  _xlpm.tyyppi, Table1713[[#This Row],[Kuljetusyksikkötyyppi]],
  _xlpm.lkm, Table1713[[#This Row],[Lukumäärä]],
  _xlpm.paino, Table1713[[#This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1E536C6-AA82-284C-BC13-F112F0637713}" name="Table114" displayName="Table114" ref="A233:F239" totalsRowCount="1" headerRowDxfId="172" dataDxfId="170" totalsRowDxfId="171">
  <autoFilter ref="A233:F238" xr:uid="{E1E536C6-AA82-284C-BC13-F112F0637713}"/>
  <tableColumns count="6">
    <tableColumn id="1" xr3:uid="{34B41454-1B5B-C84A-B22B-C55FF612A676}" name="Tavararyhmä" totalsRowLabel="Yhteensä" dataDxfId="179" totalsRowDxfId="39"/>
    <tableColumn id="2" xr3:uid="{94871ACC-8B61-C646-ACA9-4632B5F7AE0D}" name="Kauttakulku" totalsRowFunction="custom" dataDxfId="178" totalsRowDxfId="38">
      <totalsRowFormula>COUNTIF(Table114[Kauttakulku],"Kyllä")</totalsRowFormula>
    </tableColumn>
    <tableColumn id="3" xr3:uid="{FB6DC8CF-A9C8-974A-B12A-74B08318E7A5}" name="Kuljetusyksikkötyyppi" dataDxfId="177" totalsRowDxfId="37"/>
    <tableColumn id="4" xr3:uid="{BF4CBF13-91F8-A747-B2C4-0452E556C2AE}" name="Lukumäärä" totalsRowFunction="sum" dataDxfId="176" totalsRowDxfId="36"/>
    <tableColumn id="5" xr3:uid="{CF3A032E-9887-1342-AA80-855AE45B5384}" name="Bruttopaino" totalsRowFunction="sum" dataDxfId="175" totalsRowDxfId="35"/>
    <tableColumn id="6" xr3:uid="{3A65CC83-7405-7048-9530-971D542AEA56}" name="Ohjeet" dataDxfId="174" totalsRowDxfId="173">
      <calculatedColumnFormula>_xlfn.LET(
  _xlpm.ryhma, Table114[[#This Row],[Tavararyhmä]],
  _xlpm.kauttakulku, Table114[[#This Row],[Kauttakulku]],
  _xlpm.tyyppi, Table114[[#This Row],[Kuljetusyksikkötyyppi]],
  _xlpm.lkm, Table114[[#This Row],[Lukumäärä]],
  _xlpm.paino, Table114[[#This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CCFFE5F-D92F-704A-9E3C-D93F8D46D90B}" name="Table1715" displayName="Table1715" ref="A243:F249" totalsRowCount="1" headerRowDxfId="162" dataDxfId="160" totalsRowDxfId="161">
  <autoFilter ref="A243:F248" xr:uid="{2CCFFE5F-D92F-704A-9E3C-D93F8D46D90B}"/>
  <tableColumns count="6">
    <tableColumn id="1" xr3:uid="{89FF536D-6BE8-8947-A158-585DA76A1EE4}" name="Tavararyhmä" totalsRowLabel="Yhteensä" dataDxfId="169" totalsRowDxfId="34"/>
    <tableColumn id="2" xr3:uid="{968175D6-F1AD-1547-9940-8282F8F2B5D4}" name="Kauttakulku" totalsRowFunction="custom" dataDxfId="168" totalsRowDxfId="33">
      <totalsRowFormula>COUNTIF(Table1715[Kauttakulku],"Kyllä")</totalsRowFormula>
    </tableColumn>
    <tableColumn id="3" xr3:uid="{5396B6F6-57E7-B84C-9894-FF3E69D71A1A}" name="Kuljetusyksikkötyyppi" dataDxfId="167" totalsRowDxfId="32"/>
    <tableColumn id="4" xr3:uid="{653C4DD4-01B0-F743-8244-A24495E6857D}" name="Lukumäärä" totalsRowFunction="sum" dataDxfId="166" totalsRowDxfId="31"/>
    <tableColumn id="5" xr3:uid="{F58C5215-0E36-7A41-BA67-8A0638F748CD}" name="Bruttopaino" totalsRowFunction="sum" dataDxfId="165" totalsRowDxfId="30"/>
    <tableColumn id="6" xr3:uid="{D33EB0ED-D782-DF4A-BB94-07432C616F13}" name="Ohjeet" dataDxfId="164" totalsRowDxfId="163">
      <calculatedColumnFormula>_xlfn.LET(
  _xlpm.ryhma, Table1715[[#This Row],[Tavararyhmä]],
  _xlpm.kauttakulku, Table1715[[#This Row],[Kauttakulku]],
  _xlpm.tyyppi, Table1715[[#This Row],[Kuljetusyksikkötyyppi]],
  _xlpm.lkm, Table1715[[#This Row],[Lukumäärä]],
  _xlpm.paino, Table1715[[#This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82C332-6088-6C45-9BC8-174BE86414CD}" name="Table116" displayName="Table116" ref="A267:F273" totalsRowCount="1" headerRowDxfId="152" dataDxfId="150" totalsRowDxfId="151">
  <autoFilter ref="A267:F272" xr:uid="{0D82C332-6088-6C45-9BC8-174BE86414CD}"/>
  <tableColumns count="6">
    <tableColumn id="1" xr3:uid="{1C07D9B2-488F-EF4C-9C1F-EFE201A3CD07}" name="Tavararyhmä" totalsRowLabel="Yhteensä" dataDxfId="159" totalsRowDxfId="29"/>
    <tableColumn id="2" xr3:uid="{FDEC696C-6D95-E849-B2D4-EBC86E3E48CA}" name="Kauttakulku" totalsRowFunction="custom" dataDxfId="158" totalsRowDxfId="28">
      <totalsRowFormula>COUNTIF(Table116[Kauttakulku],"Kyllä")</totalsRowFormula>
    </tableColumn>
    <tableColumn id="3" xr3:uid="{BE63DBAC-BE85-0E46-82AC-A2BCE7CF8F31}" name="Kuljetusyksikkötyyppi" dataDxfId="157" totalsRowDxfId="27"/>
    <tableColumn id="4" xr3:uid="{F549160B-23DC-BD40-9E7A-8DFC083BD175}" name="Lukumäärä" totalsRowFunction="sum" dataDxfId="156" totalsRowDxfId="26"/>
    <tableColumn id="5" xr3:uid="{80567FC0-E4A4-3C42-8A02-9F685960F133}" name="Bruttopaino" totalsRowFunction="sum" dataDxfId="155" totalsRowDxfId="25"/>
    <tableColumn id="6" xr3:uid="{976468F1-95A7-E641-9589-5428AF6243F9}" name="Ohjeet" dataDxfId="154" totalsRowDxfId="153">
      <calculatedColumnFormula>_xlfn.LET(
  _xlpm.ryhma, Table116[[#This Row],[Tavararyhmä]],
  _xlpm.kauttakulku, Table116[[#This Row],[Kauttakulku]],
  _xlpm.tyyppi, Table116[[#This Row],[Kuljetusyksikkötyyppi]],
  _xlpm.lkm, Table116[[#This Row],[Lukumäärä]],
  _xlpm.paino, Table116[[#This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5093FB4-C35D-9B42-9271-B9839733B287}" name="Table1717" displayName="Table1717" ref="A277:F283" totalsRowCount="1" headerRowDxfId="142" dataDxfId="140" totalsRowDxfId="141">
  <autoFilter ref="A277:F282" xr:uid="{05093FB4-C35D-9B42-9271-B9839733B287}"/>
  <tableColumns count="6">
    <tableColumn id="1" xr3:uid="{D978AA51-C4A5-2549-B415-7A594FA142BB}" name="Tavararyhmä" totalsRowLabel="Yhteensä" dataDxfId="149" totalsRowDxfId="24"/>
    <tableColumn id="2" xr3:uid="{00D1D391-59E8-854B-9878-95708914A0E3}" name="Kauttakulku" totalsRowFunction="custom" dataDxfId="148" totalsRowDxfId="23">
      <totalsRowFormula>COUNTIF(Table1717[Kauttakulku],"Kyllä")</totalsRowFormula>
    </tableColumn>
    <tableColumn id="3" xr3:uid="{0B4CB673-4E25-5C4C-8521-042B1CA3592C}" name="Kuljetusyksikkötyyppi" dataDxfId="147" totalsRowDxfId="22"/>
    <tableColumn id="4" xr3:uid="{6A3E98CE-BF51-EB41-BC9F-F4DDC4ED0DC5}" name="Lukumäärä" totalsRowFunction="sum" dataDxfId="146" totalsRowDxfId="21"/>
    <tableColumn id="5" xr3:uid="{8BBA1070-991F-784D-A142-B26E8085BC7C}" name="Bruttopaino" totalsRowFunction="sum" dataDxfId="145" totalsRowDxfId="20"/>
    <tableColumn id="6" xr3:uid="{9B5C8034-8C38-814B-890E-4C0CFF259622}" name="Ohjeet" dataDxfId="144" totalsRowDxfId="143">
      <calculatedColumnFormula>_xlfn.LET(
  _xlpm.ryhma, Table1717[[#This Row],[Tavararyhmä]],
  _xlpm.kauttakulku, Table1717[[#This Row],[Kauttakulku]],
  _xlpm.tyyppi, Table1717[[#This Row],[Kuljetusyksikkötyyppi]],
  _xlpm.lkm, Table1717[[#This Row],[Lukumäärä]],
  _xlpm.paino, Table1717[[#This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F768295-28BD-5245-9310-26B60EA9E2E7}" name="Table118" displayName="Table118" ref="A301:F307" totalsRowCount="1" headerRowDxfId="132" dataDxfId="130" totalsRowDxfId="131">
  <autoFilter ref="A301:F306" xr:uid="{8F768295-28BD-5245-9310-26B60EA9E2E7}"/>
  <tableColumns count="6">
    <tableColumn id="1" xr3:uid="{DEDA5B30-CF39-9844-AD81-36D68B6B9D5B}" name="Tavararyhmä" totalsRowLabel="Yhteensä" dataDxfId="139" totalsRowDxfId="19"/>
    <tableColumn id="2" xr3:uid="{013D14EB-C9BF-B742-8538-E19D587A4A07}" name="Kauttakulku" totalsRowFunction="custom" dataDxfId="138" totalsRowDxfId="18">
      <totalsRowFormula>COUNTIF(Table118[Kauttakulku],"Kyllä")</totalsRowFormula>
    </tableColumn>
    <tableColumn id="3" xr3:uid="{2CA6B735-5509-B346-B785-D34127A0EC02}" name="Kuljetusyksikkötyyppi" dataDxfId="137" totalsRowDxfId="17"/>
    <tableColumn id="4" xr3:uid="{CAEBA89B-6AE0-0C47-B5E5-B76C0CBF3F6B}" name="Lukumäärä" totalsRowFunction="sum" dataDxfId="136" totalsRowDxfId="16"/>
    <tableColumn id="5" xr3:uid="{A5589BE6-06AC-F74C-8369-4FEE8D479354}" name="Bruttopaino" totalsRowFunction="sum" dataDxfId="135" totalsRowDxfId="15"/>
    <tableColumn id="6" xr3:uid="{4960C237-35CA-094C-AE72-326F743C298D}" name="Ohjeet" dataDxfId="134" totalsRowDxfId="133">
      <calculatedColumnFormula>_xlfn.LET(
  _xlpm.ryhma, Table118[[#This Row],[Tavararyhmä]],
  _xlpm.kauttakulku, Table118[[#This Row],[Kauttakulku]],
  _xlpm.tyyppi, Table118[[#This Row],[Kuljetusyksikkötyyppi]],
  _xlpm.lkm, Table118[[#This Row],[Lukumäärä]],
  _xlpm.paino, Table118[[#This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54F9417-F87C-884D-A17F-A7F24388B9DB}" name="Table1719" displayName="Table1719" ref="A311:F317" totalsRowCount="1" headerRowDxfId="122" dataDxfId="120" totalsRowDxfId="121">
  <autoFilter ref="A311:F316" xr:uid="{B54F9417-F87C-884D-A17F-A7F24388B9DB}"/>
  <tableColumns count="6">
    <tableColumn id="1" xr3:uid="{18AA3FA3-C5B0-D142-A347-4CCCB8A6F8E4}" name="Tavararyhmä" totalsRowLabel="Yhteensä" dataDxfId="129" totalsRowDxfId="14"/>
    <tableColumn id="2" xr3:uid="{82208107-C842-E646-AA53-7815E196C8F3}" name="Kauttakulku" totalsRowFunction="custom" dataDxfId="128" totalsRowDxfId="13">
      <totalsRowFormula>COUNTIF(Table1719[Kauttakulku],"Kyllä")</totalsRowFormula>
    </tableColumn>
    <tableColumn id="3" xr3:uid="{67539635-6478-F641-B179-4A23F23FA122}" name="Kuljetusyksikkötyyppi" dataDxfId="127" totalsRowDxfId="12"/>
    <tableColumn id="4" xr3:uid="{53249D40-C4C8-9048-8AAF-B32031EE91B8}" name="Lukumäärä" totalsRowFunction="sum" dataDxfId="126" totalsRowDxfId="11"/>
    <tableColumn id="5" xr3:uid="{1C2C9D79-5A11-3B46-84F7-C6A78B6C5302}" name="Bruttopaino" totalsRowFunction="sum" dataDxfId="125" totalsRowDxfId="10"/>
    <tableColumn id="6" xr3:uid="{A5C8C638-876C-7443-A954-BF748097C80D}" name="Ohjeet" dataDxfId="124" totalsRowDxfId="123">
      <calculatedColumnFormula>_xlfn.LET(
  _xlpm.ryhma, Table1719[[#This Row],[Tavararyhmä]],
  _xlpm.kauttakulku, Table1719[[#This Row],[Kauttakulku]],
  _xlpm.tyyppi, Table1719[[#This Row],[Kuljetusyksikkötyyppi]],
  _xlpm.lkm, Table1719[[#This Row],[Lukumäärä]],
  _xlpm.paino, Table1719[[#This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FD22976-99EC-AE4E-81C2-12F9D3CF4D0E}" name="Table120" displayName="Table120" ref="A335:F341" totalsRowCount="1" headerRowDxfId="112" dataDxfId="110" totalsRowDxfId="111">
  <autoFilter ref="A335:F340" xr:uid="{7FD22976-99EC-AE4E-81C2-12F9D3CF4D0E}"/>
  <tableColumns count="6">
    <tableColumn id="1" xr3:uid="{A39D7A44-11BD-FB4B-9587-DA3CC951BD03}" name="Tavararyhmä" totalsRowLabel="Yhteensä" dataDxfId="119" totalsRowDxfId="9"/>
    <tableColumn id="2" xr3:uid="{512434FF-AD78-BD43-8AFD-06C925C14754}" name="Kauttakulku" totalsRowFunction="custom" dataDxfId="118" totalsRowDxfId="8">
      <totalsRowFormula>COUNTIF(Table120[Kauttakulku],"Kyllä")</totalsRowFormula>
    </tableColumn>
    <tableColumn id="3" xr3:uid="{F0191027-5C83-7547-929D-4FDC126F5D72}" name="Kuljetusyksikkötyyppi" dataDxfId="117" totalsRowDxfId="7"/>
    <tableColumn id="4" xr3:uid="{4019F5ED-F7D7-244E-8BCF-F2CF01158D32}" name="Lukumäärä" totalsRowFunction="sum" dataDxfId="116" totalsRowDxfId="6"/>
    <tableColumn id="5" xr3:uid="{42086198-655A-4D4D-BADA-144D0BE4B84E}" name="Bruttopaino" totalsRowFunction="sum" dataDxfId="115" totalsRowDxfId="5"/>
    <tableColumn id="6" xr3:uid="{66C9EB51-58B9-DA40-9B10-7C3A876C5CD1}" name="Ohjeet" dataDxfId="114" totalsRowDxfId="113">
      <calculatedColumnFormula>_xlfn.LET(
  _xlpm.ryhma, Table120[[#This Row],[Tavararyhmä]],
  _xlpm.kauttakulku, Table120[[#This Row],[Kauttakulku]],
  _xlpm.tyyppi, Table120[[#This Row],[Kuljetusyksikkötyyppi]],
  _xlpm.lkm, Table120[[#This Row],[Lukumäärä]],
  _xlpm.paino, Table120[[#This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3D6702-0232-FD4D-B1F0-CDEC58822EB1}" name="Table17" displayName="Table17" ref="A39:F45" totalsRowCount="1" headerRowDxfId="282" dataDxfId="280" totalsRowDxfId="281">
  <autoFilter ref="A39:F44" xr:uid="{873D6702-0232-FD4D-B1F0-CDEC58822E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B842B7B-14BE-254B-9F11-9B5CE12062DE}" name="Tavararyhmä" totalsRowLabel="Yhteensä" dataDxfId="289" totalsRowDxfId="94"/>
    <tableColumn id="2" xr3:uid="{E935B47E-C240-8340-AF83-A6FC610B2915}" name="Kauttakulku" totalsRowFunction="custom" dataDxfId="288" totalsRowDxfId="93">
      <totalsRowFormula>COUNTIF(Table17[Kauttakulku],"Kyllä")</totalsRowFormula>
    </tableColumn>
    <tableColumn id="3" xr3:uid="{B1748E14-131A-4B40-81C3-3939DCB3D1F3}" name="Kuljetusyksikkötyyppi" dataDxfId="287" totalsRowDxfId="92"/>
    <tableColumn id="4" xr3:uid="{A845E1ED-FA30-664B-8055-BA47E84D27DA}" name="Lukumäärä" totalsRowFunction="sum" dataDxfId="286" totalsRowDxfId="91"/>
    <tableColumn id="5" xr3:uid="{1F5BD5F8-F4DB-F54C-BED2-AFDC7239B1EF}" name="Bruttopaino" totalsRowFunction="sum" dataDxfId="285" totalsRowDxfId="90"/>
    <tableColumn id="6" xr3:uid="{E7BB10DC-10BA-5148-BB35-CBC394535884}" name="Ohjeet" dataDxfId="284" totalsRowDxfId="283">
      <calculatedColumnFormula>_xlfn.LET(
  _xlpm.ryhma, Table17[[#This Row],[Tavararyhmä]],
  _xlpm.kauttakulku, Table17[[#This Row],[Kauttakulku]],
  _xlpm.tyyppi, Table17[[#This Row],[Kuljetusyksikkötyyppi]],
  _xlpm.lkm, Table17[[#This Row],[Lukumäärä]],
  _xlpm.paino, Table17[[#This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D402B3C-AECC-B246-80F7-7988D7EFB997}" name="Table1721" displayName="Table1721" ref="A345:F351" totalsRowCount="1" headerRowDxfId="102" dataDxfId="100" totalsRowDxfId="101">
  <autoFilter ref="A345:F350" xr:uid="{BD402B3C-AECC-B246-80F7-7988D7EFB997}"/>
  <tableColumns count="6">
    <tableColumn id="1" xr3:uid="{5F3DE515-A4ED-BE4E-918E-4F60AF74B013}" name="Tavararyhmä" totalsRowLabel="Yhteensä" dataDxfId="109" totalsRowDxfId="4"/>
    <tableColumn id="2" xr3:uid="{ADFDBB8F-2BA2-F346-9062-F02E6845E2F1}" name="Kauttakulku" totalsRowFunction="custom" dataDxfId="108" totalsRowDxfId="3">
      <totalsRowFormula>COUNTIF(Table1721[Kauttakulku],"Kyllä")</totalsRowFormula>
    </tableColumn>
    <tableColumn id="3" xr3:uid="{E203345A-8A76-704F-9069-2F988667F4E6}" name="Kuljetusyksikkötyyppi" dataDxfId="107" totalsRowDxfId="2"/>
    <tableColumn id="4" xr3:uid="{B7649F36-A924-3642-8BE1-DCC41006CB37}" name="Lukumäärä" totalsRowFunction="sum" dataDxfId="106" totalsRowDxfId="1"/>
    <tableColumn id="5" xr3:uid="{3C860FD7-D2ED-2246-9D7C-202CC869D421}" name="Bruttopaino" totalsRowFunction="sum" dataDxfId="105" totalsRowDxfId="0"/>
    <tableColumn id="6" xr3:uid="{CF0F2E46-68D2-9042-B5F8-D029944473D1}" name="Ohjeet" dataDxfId="104" totalsRowDxfId="103">
      <calculatedColumnFormula>_xlfn.LET(
  _xlpm.ryhma, Table1721[[#This Row],[Tavararyhmä]],
  _xlpm.kauttakulku, Table1721[[#This Row],[Kauttakulku]],
  _xlpm.tyyppi, Table1721[[#This Row],[Kuljetusyksikkötyyppi]],
  _xlpm.lkm, Table1721[[#This Row],[Lukumäärä]],
  _xlpm.paino, Table1721[[#This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98DD1B-3402-4649-B4C0-906A4E0C8A5E}" name="Table13" displayName="Table13" ref="A63:F69" totalsRowCount="1" headerRowDxfId="272" dataDxfId="270" totalsRowDxfId="271">
  <autoFilter ref="A63:F68" xr:uid="{3898DD1B-3402-4649-B4C0-906A4E0C8A5E}"/>
  <tableColumns count="6">
    <tableColumn id="1" xr3:uid="{618B5F65-FD4D-C141-A79D-F0F95D09E195}" name="Tavararyhmä" totalsRowLabel="Yhteensä" dataDxfId="279" totalsRowDxfId="89"/>
    <tableColumn id="2" xr3:uid="{2D244E8A-FA00-954C-86E3-6921640E336B}" name="Kauttakulku" totalsRowFunction="custom" dataDxfId="278" totalsRowDxfId="88">
      <totalsRowFormula>COUNTIF(Table13[Kauttakulku],"Kyllä")</totalsRowFormula>
    </tableColumn>
    <tableColumn id="3" xr3:uid="{6C7BCCFA-C99B-A245-B251-EF27A9C6AFC1}" name="Kuljetusyksikkötyyppi" dataDxfId="277" totalsRowDxfId="87"/>
    <tableColumn id="4" xr3:uid="{0B960477-B43B-A845-981E-A789C431AD03}" name="Lukumäärä" totalsRowFunction="sum" dataDxfId="276" totalsRowDxfId="86"/>
    <tableColumn id="5" xr3:uid="{A74D4779-4C9B-D54E-B2D0-B5171658212A}" name="Bruttopaino" totalsRowFunction="sum" dataDxfId="275" totalsRowDxfId="85"/>
    <tableColumn id="6" xr3:uid="{2D4A21BA-41EF-8A4E-AE93-33DC5453E1D4}" name="Ohjeet" dataDxfId="274" totalsRowDxfId="273">
      <calculatedColumnFormula>_xlfn.LET(
  _xlpm.ryhma, Table13[[#This Row],[Tavararyhmä]],
  _xlpm.kauttakulku, Table13[[#This Row],[Kauttakulku]],
  _xlpm.tyyppi, Table13[[#This Row],[Kuljetusyksikkötyyppi]],
  _xlpm.lkm, Table13[[#This Row],[Lukumäärä]],
  _xlpm.paino, Table13[[#This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2E89D9-ED88-5B4C-BA87-9DA561471114}" name="Table174" displayName="Table174" ref="A73:F79" totalsRowCount="1" headerRowDxfId="262" dataDxfId="260" totalsRowDxfId="261">
  <autoFilter ref="A73:F78" xr:uid="{762E89D9-ED88-5B4C-BA87-9DA561471114}"/>
  <tableColumns count="6">
    <tableColumn id="1" xr3:uid="{DA791532-C824-4E41-9EB7-7902E2420FA2}" name="Tavararyhmä" totalsRowLabel="Yhteensä" dataDxfId="269" totalsRowDxfId="84"/>
    <tableColumn id="2" xr3:uid="{054C2CD0-F193-A141-B2C3-2F25678D1584}" name="Kauttakulku" totalsRowFunction="custom" dataDxfId="268" totalsRowDxfId="83">
      <totalsRowFormula>COUNTIF(Table174[Kauttakulku],"Kyllä")</totalsRowFormula>
    </tableColumn>
    <tableColumn id="3" xr3:uid="{8416532A-DBF9-6F43-9E46-C8C699D498C2}" name="Kuljetusyksikkötyyppi" dataDxfId="267" totalsRowDxfId="82"/>
    <tableColumn id="4" xr3:uid="{1CF4879F-CEC3-6447-83EE-707940FD6037}" name="Lukumäärä" totalsRowFunction="sum" dataDxfId="266" totalsRowDxfId="81"/>
    <tableColumn id="5" xr3:uid="{5421041E-F579-914A-A512-0CCC44A2F5E8}" name="Bruttopaino" totalsRowFunction="sum" dataDxfId="265" totalsRowDxfId="80"/>
    <tableColumn id="6" xr3:uid="{5844B367-4247-6246-AD62-48077DAC2A5A}" name="Ohjeet" dataDxfId="264" totalsRowDxfId="263">
      <calculatedColumnFormula>_xlfn.LET(
  _xlpm.ryhma, Table174[[#This Row],[Tavararyhmä]],
  _xlpm.kauttakulku, Table174[[#This Row],[Kauttakulku]],
  _xlpm.tyyppi, Table174[[#This Row],[Kuljetusyksikkötyyppi]],
  _xlpm.lkm, Table174[[#This Row],[Lukumäärä]],
  _xlpm.paino, Table174[[#This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4C2579-4243-C040-A48B-913D4B251783}" name="Table15" displayName="Table15" ref="A97:F103" totalsRowCount="1" headerRowDxfId="252" dataDxfId="250" totalsRowDxfId="251">
  <autoFilter ref="A97:F102" xr:uid="{B54C2579-4243-C040-A48B-913D4B251783}"/>
  <tableColumns count="6">
    <tableColumn id="1" xr3:uid="{574077A5-B634-684D-9B8A-39595DF12D4D}" name="Tavararyhmä" totalsRowLabel="Yhteensä" dataDxfId="259" totalsRowDxfId="79"/>
    <tableColumn id="2" xr3:uid="{667920C9-3515-5E47-864C-F464D051713D}" name="Kauttakulku" totalsRowFunction="custom" dataDxfId="258" totalsRowDxfId="78">
      <totalsRowFormula>COUNTIF(Table15[Kauttakulku],"Kyllä")</totalsRowFormula>
    </tableColumn>
    <tableColumn id="3" xr3:uid="{75E425D9-5B61-6F4E-8981-3AF49420D71D}" name="Kuljetusyksikkötyyppi" dataDxfId="257" totalsRowDxfId="77"/>
    <tableColumn id="4" xr3:uid="{633A9CCB-DA76-1140-8510-BE44A9749CEA}" name="Lukumäärä" totalsRowFunction="sum" dataDxfId="256" totalsRowDxfId="76"/>
    <tableColumn id="5" xr3:uid="{D12C6D9C-9FA6-D747-B191-F1A7C31C8842}" name="Bruttopaino" totalsRowFunction="sum" dataDxfId="255" totalsRowDxfId="75"/>
    <tableColumn id="6" xr3:uid="{1DCF534D-F40B-7B42-B0C3-F1E8EE40B0C0}" name="Ohjeet" dataDxfId="254" totalsRowDxfId="253">
      <calculatedColumnFormula>_xlfn.LET(
  _xlpm.ryhma, Table15[[#This Row],[Tavararyhmä]],
  _xlpm.kauttakulku, Table15[[#This Row],[Kauttakulku]],
  _xlpm.tyyppi, Table15[[#This Row],[Kuljetusyksikkötyyppi]],
  _xlpm.lkm, Table15[[#This Row],[Lukumäärä]],
  _xlpm.paino, Table15[[#This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702040-E4C6-9C48-9CE4-930F743057A5}" name="Table176" displayName="Table176" ref="A107:F113" totalsRowCount="1" headerRowDxfId="242" dataDxfId="240" totalsRowDxfId="241">
  <autoFilter ref="A107:F112" xr:uid="{B2702040-E4C6-9C48-9CE4-930F743057A5}"/>
  <tableColumns count="6">
    <tableColumn id="1" xr3:uid="{DFD32A1A-485F-5C44-87E8-0131C810955F}" name="Tavararyhmä" totalsRowLabel="Yhteensä" dataDxfId="249" totalsRowDxfId="74"/>
    <tableColumn id="2" xr3:uid="{CFD38714-EF44-2D4C-B967-88046CEA0DB1}" name="Kauttakulku" totalsRowFunction="custom" dataDxfId="248" totalsRowDxfId="73">
      <totalsRowFormula>COUNTIF(Table176[Kauttakulku],"Kyllä")</totalsRowFormula>
    </tableColumn>
    <tableColumn id="3" xr3:uid="{7E3509D9-1F4E-8B44-8D50-18051E83A46D}" name="Kuljetusyksikkötyyppi" dataDxfId="247" totalsRowDxfId="72"/>
    <tableColumn id="4" xr3:uid="{52329A2F-F0BB-6B44-9A70-A2A22BF24FD4}" name="Lukumäärä" totalsRowFunction="sum" dataDxfId="246" totalsRowDxfId="71"/>
    <tableColumn id="5" xr3:uid="{14CD3DFB-51AA-1C4A-97F4-A4926FF6E70F}" name="Bruttopaino" totalsRowFunction="sum" dataDxfId="245" totalsRowDxfId="70"/>
    <tableColumn id="6" xr3:uid="{60FA9DEC-ED9E-094E-9B14-C13EEEF0A858}" name="Ohjeet" dataDxfId="244" totalsRowDxfId="243">
      <calculatedColumnFormula>_xlfn.LET(
  _xlpm.ryhma, Table176[[#This Row],[Tavararyhmä]],
  _xlpm.kauttakulku, Table176[[#This Row],[Kauttakulku]],
  _xlpm.tyyppi, Table176[[#This Row],[Kuljetusyksikkötyyppi]],
  _xlpm.lkm, Table176[[#This Row],[Lukumäärä]],
  _xlpm.paino, Table176[[#This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B9DCA73-357A-2C41-8DBA-391E34CA21E0}" name="Table18" displayName="Table18" ref="A131:F137" totalsRowCount="1" headerRowDxfId="232" dataDxfId="230" totalsRowDxfId="231">
  <autoFilter ref="A131:F136" xr:uid="{2B9DCA73-357A-2C41-8DBA-391E34CA21E0}"/>
  <tableColumns count="6">
    <tableColumn id="1" xr3:uid="{8168C9A9-2626-0E45-8C97-9DB6FDD39D27}" name="Tavararyhmä" totalsRowLabel="Yhteensä" dataDxfId="239" totalsRowDxfId="69"/>
    <tableColumn id="2" xr3:uid="{39B23012-4AA9-A04D-BFA4-BF33D0F07EA1}" name="Kauttakulku" totalsRowFunction="custom" dataDxfId="238" totalsRowDxfId="68">
      <totalsRowFormula>COUNTIF(Table18[Kauttakulku],"Kyllä")</totalsRowFormula>
    </tableColumn>
    <tableColumn id="3" xr3:uid="{916AA7CA-7D0C-D44B-9BEC-FB91DF2F5C1A}" name="Kuljetusyksikkötyyppi" dataDxfId="237" totalsRowDxfId="67"/>
    <tableColumn id="4" xr3:uid="{53E89446-C84A-9044-8E44-DF905EEC24A2}" name="Lukumäärä" totalsRowFunction="sum" dataDxfId="236" totalsRowDxfId="66"/>
    <tableColumn id="5" xr3:uid="{EAC4FC0A-96C8-4D41-92DC-9035C75DAAD0}" name="Bruttopaino" totalsRowFunction="sum" dataDxfId="235" totalsRowDxfId="65"/>
    <tableColumn id="6" xr3:uid="{CD501897-801C-1C42-BC77-B14B6B50EC00}" name="Ohjeet" dataDxfId="234" totalsRowDxfId="233">
      <calculatedColumnFormula>_xlfn.LET(
  _xlpm.ryhma, Table18[[#This Row],[Tavararyhmä]],
  _xlpm.kauttakulku, Table18[[#This Row],[Kauttakulku]],
  _xlpm.tyyppi, Table18[[#This Row],[Kuljetusyksikkötyyppi]],
  _xlpm.lkm, Table18[[#This Row],[Lukumäärä]],
  _xlpm.paino, Table18[[#This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A1458D-2B40-3A47-8F35-70D1C021D951}" name="Table179" displayName="Table179" ref="A141:F147" totalsRowCount="1" headerRowDxfId="222" dataDxfId="220" totalsRowDxfId="221">
  <autoFilter ref="A141:F146" xr:uid="{B4A1458D-2B40-3A47-8F35-70D1C021D951}"/>
  <tableColumns count="6">
    <tableColumn id="1" xr3:uid="{48820297-FF12-5D43-8CA1-C8AAF25007A6}" name="Tavararyhmä" totalsRowLabel="Yhteensä" dataDxfId="229" totalsRowDxfId="64"/>
    <tableColumn id="2" xr3:uid="{45708A07-7CB9-7045-8007-7FB78E23A03A}" name="Kauttakulku" totalsRowFunction="custom" dataDxfId="228" totalsRowDxfId="63">
      <totalsRowFormula>COUNTIF(Table179[Kauttakulku],"Kyllä")</totalsRowFormula>
    </tableColumn>
    <tableColumn id="3" xr3:uid="{14CC50C2-6359-944D-9C0E-E81101D21FC3}" name="Kuljetusyksikkötyyppi" dataDxfId="227" totalsRowDxfId="62"/>
    <tableColumn id="4" xr3:uid="{BD0D0386-1E45-754B-84C3-2A7D9051132E}" name="Lukumäärä" totalsRowFunction="sum" dataDxfId="226" totalsRowDxfId="61"/>
    <tableColumn id="5" xr3:uid="{9267B492-4D8A-EF42-80E9-992DC13B3488}" name="Bruttopaino" totalsRowFunction="sum" dataDxfId="225" totalsRowDxfId="60"/>
    <tableColumn id="6" xr3:uid="{563C7B30-5498-1D45-9228-FFF17BB1CDBC}" name="Ohjeet" dataDxfId="224" totalsRowDxfId="223">
      <calculatedColumnFormula>_xlfn.LET(
  _xlpm.ryhma, Table179[[#This Row],[Tavararyhmä]],
  _xlpm.kauttakulku, Table179[[#This Row],[Kauttakulku]],
  _xlpm.tyyppi, Table179[[#This Row],[Kuljetusyksikkötyyppi]],
  _xlpm.lkm, Table179[[#This Row],[Lukumäärä]],
  _xlpm.paino, Table179[[#This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90483D-2C61-134D-B2C2-08A66CCCA1A9}" name="Table110" displayName="Table110" ref="A165:F171" totalsRowCount="1" headerRowDxfId="212" dataDxfId="210" totalsRowDxfId="211">
  <autoFilter ref="A165:F170" xr:uid="{1C90483D-2C61-134D-B2C2-08A66CCCA1A9}"/>
  <tableColumns count="6">
    <tableColumn id="1" xr3:uid="{43B0551C-DD40-4C4F-A0C8-3625676C0260}" name="Tavararyhmä" totalsRowLabel="Yhteensä" dataDxfId="219" totalsRowDxfId="59"/>
    <tableColumn id="2" xr3:uid="{312BCD05-5145-F748-A78B-7CBFDE2EF311}" name="Kauttakulku" totalsRowFunction="custom" dataDxfId="218" totalsRowDxfId="58">
      <totalsRowFormula>COUNTIF(Table110[Kauttakulku],"Kyllä")</totalsRowFormula>
    </tableColumn>
    <tableColumn id="3" xr3:uid="{F46E7173-63C8-BB4C-ADC7-19197D938CE2}" name="Kuljetusyksikkötyyppi" dataDxfId="217" totalsRowDxfId="57"/>
    <tableColumn id="4" xr3:uid="{7F4EE1F7-7BD9-B44D-AEB7-D60772262101}" name="Lukumäärä" totalsRowFunction="sum" dataDxfId="216" totalsRowDxfId="56"/>
    <tableColumn id="5" xr3:uid="{B4C74EC9-3353-5E42-84FD-A63C192BDAAB}" name="Bruttopaino" totalsRowFunction="sum" dataDxfId="215" totalsRowDxfId="55"/>
    <tableColumn id="6" xr3:uid="{5CD859F7-4559-E449-B4F0-ED162643F144}" name="Ohjeet" dataDxfId="214" totalsRowDxfId="213">
      <calculatedColumnFormula>_xlfn.LET(
  _xlpm.ryhma, Table110[[#This Row],[Tavararyhmä]],
  _xlpm.kauttakulku, Table110[[#This Row],[Kauttakulku]],
  _xlpm.tyyppi, Table110[[#This Row],[Kuljetusyksikkötyyppi]],
  _xlpm.lkm, Table110[[#This Row],[Lukumäärä]],
  _xlpm.paino, Table110[[#This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calculatedColumnFormula>
    </tableColumn>
  </tableColumns>
  <tableStyleInfo name="Cargo table sty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DDB9-0926-624B-992C-ED1DE7652CAA}">
  <sheetPr codeName="Sheet1"/>
  <dimension ref="A1:XFD352"/>
  <sheetViews>
    <sheetView tabSelected="1" zoomScale="140" zoomScaleNormal="140" workbookViewId="0">
      <selection activeCell="A11" sqref="A11"/>
    </sheetView>
  </sheetViews>
  <sheetFormatPr baseColWidth="10" defaultColWidth="0" defaultRowHeight="16" outlineLevelRow="1" x14ac:dyDescent="0.2"/>
  <cols>
    <col min="1" max="5" width="34.33203125" style="43" customWidth="1"/>
    <col min="6" max="6" width="68.33203125" style="43" customWidth="1"/>
    <col min="7" max="7" width="5.5" style="43" hidden="1"/>
    <col min="8" max="9" width="0" style="43" hidden="1"/>
    <col min="10" max="11" width="10.83203125" style="43" hidden="1"/>
    <col min="12" max="16383" width="11" style="43" hidden="1"/>
    <col min="16384" max="16384" width="5.83203125" style="43" hidden="1"/>
  </cols>
  <sheetData>
    <row r="1" spans="1:6" s="9" customFormat="1" x14ac:dyDescent="0.2">
      <c r="A1" s="7" t="s">
        <v>0</v>
      </c>
      <c r="B1" s="8" t="s">
        <v>1</v>
      </c>
      <c r="C1" s="8"/>
      <c r="D1" s="8"/>
      <c r="E1" s="8"/>
    </row>
    <row r="2" spans="1:6" s="9" customFormat="1" x14ac:dyDescent="0.2">
      <c r="A2" s="7"/>
      <c r="B2" s="10" t="s">
        <v>2</v>
      </c>
      <c r="C2" s="10"/>
      <c r="D2" s="10"/>
      <c r="E2" s="10"/>
    </row>
    <row r="3" spans="1:6" s="9" customFormat="1" ht="24" x14ac:dyDescent="0.2">
      <c r="A3" s="11"/>
      <c r="B3" s="10" t="s">
        <v>3</v>
      </c>
      <c r="C3" s="10"/>
      <c r="D3" s="10"/>
      <c r="E3" s="10"/>
    </row>
    <row r="4" spans="1:6" s="9" customFormat="1" ht="17" x14ac:dyDescent="0.2">
      <c r="A4" s="12" t="s">
        <v>4</v>
      </c>
      <c r="B4" s="13"/>
      <c r="C4" s="14"/>
      <c r="D4" s="15"/>
      <c r="E4" s="15"/>
      <c r="F4" s="16"/>
    </row>
    <row r="5" spans="1:6" s="9" customFormat="1" ht="17" x14ac:dyDescent="0.2">
      <c r="A5" s="17" t="s">
        <v>5</v>
      </c>
      <c r="B5" s="17" t="s">
        <v>6</v>
      </c>
      <c r="C5" s="18"/>
      <c r="D5" s="19"/>
      <c r="E5" s="19"/>
    </row>
    <row r="6" spans="1:6" s="9" customFormat="1" ht="17" x14ac:dyDescent="0.2">
      <c r="A6" s="18" t="s">
        <v>7</v>
      </c>
      <c r="B6" s="18" t="s">
        <v>8</v>
      </c>
      <c r="C6" s="18"/>
      <c r="D6" s="19"/>
      <c r="E6" s="19"/>
    </row>
    <row r="7" spans="1:6" s="9" customFormat="1" ht="17" x14ac:dyDescent="0.2">
      <c r="A7" s="20" t="s">
        <v>9</v>
      </c>
      <c r="B7" s="20" t="s">
        <v>131</v>
      </c>
      <c r="C7" s="21"/>
      <c r="D7" s="22"/>
      <c r="E7" s="22"/>
    </row>
    <row r="8" spans="1:6" s="9" customFormat="1" x14ac:dyDescent="0.2">
      <c r="A8" s="21"/>
      <c r="B8" s="21"/>
      <c r="C8" s="21"/>
      <c r="D8" s="22"/>
      <c r="E8" s="22"/>
    </row>
    <row r="9" spans="1:6" s="9" customFormat="1" ht="17" x14ac:dyDescent="0.2">
      <c r="A9" s="17" t="s">
        <v>10</v>
      </c>
      <c r="B9" s="17" t="s">
        <v>11</v>
      </c>
      <c r="C9" s="17"/>
      <c r="D9" s="22"/>
    </row>
    <row r="10" spans="1:6" s="9" customFormat="1" ht="17" x14ac:dyDescent="0.2">
      <c r="A10" s="18" t="s">
        <v>12</v>
      </c>
      <c r="B10" s="18" t="s">
        <v>13</v>
      </c>
      <c r="C10" s="18" t="s">
        <v>14</v>
      </c>
      <c r="D10" s="22"/>
    </row>
    <row r="11" spans="1:6" s="9" customFormat="1" x14ac:dyDescent="0.2">
      <c r="A11" s="35"/>
      <c r="B11" s="35"/>
      <c r="C11" s="36"/>
      <c r="D11" s="22"/>
    </row>
    <row r="12" spans="1:6" s="9" customFormat="1" x14ac:dyDescent="0.2">
      <c r="A12" s="19"/>
      <c r="B12" s="19"/>
      <c r="C12" s="22"/>
      <c r="D12" s="23"/>
      <c r="E12" s="22"/>
    </row>
    <row r="13" spans="1:6" s="9" customFormat="1" ht="16" customHeight="1" x14ac:dyDescent="0.2">
      <c r="A13" s="24" t="s">
        <v>15</v>
      </c>
      <c r="B13" s="24"/>
      <c r="C13" s="24"/>
      <c r="D13" s="24"/>
      <c r="E13" s="24"/>
      <c r="F13" s="24"/>
    </row>
    <row r="14" spans="1:6" s="9" customFormat="1" ht="17" x14ac:dyDescent="0.2">
      <c r="A14" s="17" t="s">
        <v>16</v>
      </c>
      <c r="B14" s="17" t="s">
        <v>17</v>
      </c>
      <c r="C14" s="17" t="s">
        <v>18</v>
      </c>
      <c r="E14" s="22"/>
    </row>
    <row r="15" spans="1:6" s="9" customFormat="1" ht="17" x14ac:dyDescent="0.2">
      <c r="A15" s="18" t="s">
        <v>19</v>
      </c>
      <c r="B15" s="18" t="s">
        <v>20</v>
      </c>
      <c r="C15" s="18" t="s">
        <v>21</v>
      </c>
      <c r="E15" s="19"/>
    </row>
    <row r="16" spans="1:6" s="9" customFormat="1" x14ac:dyDescent="0.2">
      <c r="A16" s="35"/>
      <c r="B16" s="37"/>
      <c r="C16" s="37"/>
      <c r="E16" s="22"/>
    </row>
    <row r="17" spans="1:6" s="9" customFormat="1" x14ac:dyDescent="0.2">
      <c r="A17" s="21"/>
      <c r="B17" s="21"/>
      <c r="C17" s="17"/>
      <c r="D17" s="21"/>
      <c r="E17" s="22"/>
    </row>
    <row r="18" spans="1:6" s="9" customFormat="1" ht="17" x14ac:dyDescent="0.2">
      <c r="A18" s="17" t="s">
        <v>22</v>
      </c>
      <c r="B18" s="17" t="s">
        <v>23</v>
      </c>
      <c r="C18" s="17" t="s">
        <v>24</v>
      </c>
      <c r="D18" s="17" t="s">
        <v>25</v>
      </c>
      <c r="E18" s="17" t="s">
        <v>129</v>
      </c>
    </row>
    <row r="19" spans="1:6" s="9" customFormat="1" ht="17" x14ac:dyDescent="0.2">
      <c r="A19" s="18" t="s">
        <v>26</v>
      </c>
      <c r="B19" s="18" t="s">
        <v>27</v>
      </c>
      <c r="C19" s="18" t="s">
        <v>28</v>
      </c>
      <c r="D19" s="18" t="s">
        <v>29</v>
      </c>
      <c r="E19" s="18" t="s">
        <v>128</v>
      </c>
    </row>
    <row r="20" spans="1:6" s="9" customFormat="1" x14ac:dyDescent="0.2">
      <c r="A20" s="35"/>
      <c r="B20" s="38"/>
      <c r="C20" s="39"/>
      <c r="D20" s="35"/>
      <c r="E20" s="38"/>
    </row>
    <row r="21" spans="1:6" s="9" customFormat="1" x14ac:dyDescent="0.2">
      <c r="A21" s="21"/>
      <c r="B21" s="21"/>
      <c r="C21" s="17"/>
      <c r="D21" s="21"/>
      <c r="E21" s="22"/>
    </row>
    <row r="22" spans="1:6" s="9" customFormat="1" ht="17" x14ac:dyDescent="0.2">
      <c r="A22" s="17" t="s">
        <v>30</v>
      </c>
      <c r="B22" s="17" t="s">
        <v>31</v>
      </c>
      <c r="C22" s="17" t="s">
        <v>32</v>
      </c>
      <c r="D22" s="17" t="s">
        <v>33</v>
      </c>
      <c r="E22" s="22"/>
    </row>
    <row r="23" spans="1:6" s="9" customFormat="1" ht="17" x14ac:dyDescent="0.2">
      <c r="A23" s="18" t="s">
        <v>34</v>
      </c>
      <c r="B23" s="25" t="s">
        <v>35</v>
      </c>
      <c r="C23" s="18" t="s">
        <v>36</v>
      </c>
      <c r="D23" s="18" t="s">
        <v>37</v>
      </c>
      <c r="E23" s="22"/>
    </row>
    <row r="24" spans="1:6" s="9" customFormat="1" x14ac:dyDescent="0.2">
      <c r="A24" s="35"/>
      <c r="B24" s="35"/>
      <c r="C24" s="35"/>
      <c r="D24" s="35"/>
      <c r="E24" s="22"/>
    </row>
    <row r="25" spans="1:6" s="9" customFormat="1" x14ac:dyDescent="0.2">
      <c r="A25" s="26"/>
      <c r="B25" s="22"/>
      <c r="C25" s="23"/>
      <c r="D25" s="22"/>
      <c r="E25" s="22"/>
    </row>
    <row r="26" spans="1:6" s="9" customFormat="1" ht="16" customHeight="1" x14ac:dyDescent="0.2">
      <c r="A26" s="27" t="s">
        <v>38</v>
      </c>
      <c r="B26" s="27"/>
      <c r="C26" s="27"/>
      <c r="D26" s="27"/>
      <c r="E26" s="27"/>
      <c r="F26" s="27"/>
    </row>
    <row r="27" spans="1:6" s="9" customFormat="1" ht="17" x14ac:dyDescent="0.2">
      <c r="A27" s="28" t="s">
        <v>39</v>
      </c>
      <c r="B27" s="28"/>
      <c r="C27" s="28"/>
      <c r="D27" s="28"/>
      <c r="E27" s="28"/>
    </row>
    <row r="28" spans="1:6" s="9" customFormat="1" ht="17" outlineLevel="1" x14ac:dyDescent="0.2">
      <c r="A28" s="17" t="s">
        <v>40</v>
      </c>
      <c r="B28" s="17" t="s">
        <v>41</v>
      </c>
      <c r="C28" s="17" t="s">
        <v>42</v>
      </c>
      <c r="D28" s="17" t="s">
        <v>43</v>
      </c>
      <c r="E28" s="17" t="s">
        <v>44</v>
      </c>
    </row>
    <row r="29" spans="1:6" s="9" customFormat="1" ht="17" outlineLevel="1" x14ac:dyDescent="0.2">
      <c r="A29" s="40" t="s">
        <v>45</v>
      </c>
      <c r="B29" s="40" t="s">
        <v>46</v>
      </c>
      <c r="C29" s="40" t="s">
        <v>47</v>
      </c>
      <c r="D29" s="40" t="s">
        <v>48</v>
      </c>
      <c r="E29" s="40" t="s">
        <v>49</v>
      </c>
      <c r="F29" s="29" t="s">
        <v>50</v>
      </c>
    </row>
    <row r="30" spans="1:6" s="9" customFormat="1" outlineLevel="1" x14ac:dyDescent="0.2">
      <c r="A30" s="40"/>
      <c r="B30" s="40"/>
      <c r="C30" s="40"/>
      <c r="D30" s="41"/>
      <c r="E30" s="42"/>
      <c r="F30" s="30" t="str">
        <f>_xlfn.LET(
  _xlpm.ryhma, Table1[[#This Row],[Tavararyhmä]],
  _xlpm.kauttakulku, Table1[[#This Row],[Kauttakulku]],
  _xlpm.tyyppi, Table1[[#This Row],[Kuljetusyksikkötyyppi]],
  _xlpm.lkm, Table1[[#This Row],[Lukumäärä]],
  _xlpm.paino, Table1[[#This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1" spans="1:6" s="9" customFormat="1" outlineLevel="1" x14ac:dyDescent="0.2">
      <c r="A31" s="40"/>
      <c r="B31" s="40"/>
      <c r="C31" s="40"/>
      <c r="D31" s="41"/>
      <c r="E31" s="42"/>
      <c r="F31" s="30" t="str">
        <f>_xlfn.LET(
  _xlpm.ryhma, Table1[[#This Row],[Tavararyhmä]],
  _xlpm.kauttakulku, Table1[[#This Row],[Kauttakulku]],
  _xlpm.tyyppi, Table1[[#This Row],[Kuljetusyksikkötyyppi]],
  _xlpm.lkm, Table1[[#This Row],[Lukumäärä]],
  _xlpm.paino, Table1[[#This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2" spans="1:6" s="9" customFormat="1" outlineLevel="1" x14ac:dyDescent="0.2">
      <c r="A32" s="40"/>
      <c r="B32" s="40"/>
      <c r="C32" s="40"/>
      <c r="D32" s="41"/>
      <c r="E32" s="42"/>
      <c r="F32" s="30" t="str">
        <f>_xlfn.LET(
  _xlpm.ryhma, Table1[[#This Row],[Tavararyhmä]],
  _xlpm.kauttakulku, Table1[[#This Row],[Kauttakulku]],
  _xlpm.tyyppi, Table1[[#This Row],[Kuljetusyksikkötyyppi]],
  _xlpm.lkm, Table1[[#This Row],[Lukumäärä]],
  _xlpm.paino, Table1[[#This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3" spans="1:6" s="9" customFormat="1" outlineLevel="1" x14ac:dyDescent="0.2">
      <c r="A33" s="40"/>
      <c r="B33" s="40"/>
      <c r="C33" s="40"/>
      <c r="D33" s="41"/>
      <c r="E33" s="42"/>
      <c r="F33" s="30" t="str">
        <f>_xlfn.LET(
  _xlpm.ryhma, Table1[[#This Row],[Tavararyhmä]],
  _xlpm.kauttakulku, Table1[[#This Row],[Kauttakulku]],
  _xlpm.tyyppi, Table1[[#This Row],[Kuljetusyksikkötyyppi]],
  _xlpm.lkm, Table1[[#This Row],[Lukumäärä]],
  _xlpm.paino, Table1[[#This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4" spans="1:6" s="9" customFormat="1" outlineLevel="1" x14ac:dyDescent="0.2">
      <c r="A34" s="40"/>
      <c r="B34" s="40"/>
      <c r="C34" s="40"/>
      <c r="D34" s="41"/>
      <c r="E34" s="42"/>
      <c r="F34" s="30" t="str">
        <f>_xlfn.LET(
  _xlpm.ryhma, Table1[[#This Row],[Tavararyhmä]],
  _xlpm.kauttakulku, Table1[[#This Row],[Kauttakulku]],
  _xlpm.tyyppi, Table1[[#This Row],[Kuljetusyksikkötyyppi]],
  _xlpm.lkm, Table1[[#This Row],[Lukumäärä]],
  _xlpm.paino, Table1[[#This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5" spans="1:6" s="9" customFormat="1" ht="17" outlineLevel="1" x14ac:dyDescent="0.2">
      <c r="A35" s="40" t="s">
        <v>51</v>
      </c>
      <c r="B35" s="40">
        <f>COUNTIF(Table1[Kauttakulku],"Kyllä")</f>
        <v>0</v>
      </c>
      <c r="C35" s="40"/>
      <c r="D35" s="41">
        <f>SUBTOTAL(109,Table1[Lukumäärä])</f>
        <v>0</v>
      </c>
      <c r="E35" s="42">
        <f>SUBTOTAL(109,Table1[Bruttopaino])</f>
        <v>0</v>
      </c>
      <c r="F35" s="30"/>
    </row>
    <row r="36" spans="1:6" s="9" customFormat="1" ht="17" x14ac:dyDescent="0.2">
      <c r="A36" s="31" t="str">
        <f>" "</f>
        <v xml:space="preserve"> </v>
      </c>
      <c r="B36" s="31"/>
      <c r="C36" s="31"/>
      <c r="D36" s="32"/>
      <c r="E36" s="33"/>
      <c r="F36" s="34"/>
    </row>
    <row r="37" spans="1:6" s="9" customFormat="1" ht="17" x14ac:dyDescent="0.2">
      <c r="A37" s="28" t="s">
        <v>52</v>
      </c>
      <c r="B37" s="28"/>
      <c r="C37" s="28"/>
      <c r="D37" s="28"/>
      <c r="E37" s="28"/>
    </row>
    <row r="38" spans="1:6" s="9" customFormat="1" ht="17" outlineLevel="1" x14ac:dyDescent="0.2">
      <c r="A38" s="17" t="s">
        <v>53</v>
      </c>
      <c r="B38" s="17" t="s">
        <v>54</v>
      </c>
      <c r="C38" s="17" t="s">
        <v>55</v>
      </c>
      <c r="D38" s="17" t="s">
        <v>56</v>
      </c>
      <c r="E38" s="17" t="s">
        <v>57</v>
      </c>
    </row>
    <row r="39" spans="1:6" s="9" customFormat="1" ht="17" outlineLevel="1" x14ac:dyDescent="0.2">
      <c r="A39" s="40" t="s">
        <v>45</v>
      </c>
      <c r="B39" s="40" t="s">
        <v>46</v>
      </c>
      <c r="C39" s="40" t="s">
        <v>47</v>
      </c>
      <c r="D39" s="40" t="s">
        <v>48</v>
      </c>
      <c r="E39" s="40" t="s">
        <v>49</v>
      </c>
      <c r="F39" s="29" t="s">
        <v>50</v>
      </c>
    </row>
    <row r="40" spans="1:6" s="9" customFormat="1" outlineLevel="1" x14ac:dyDescent="0.2">
      <c r="A40" s="40"/>
      <c r="B40" s="40"/>
      <c r="C40" s="40"/>
      <c r="D40" s="41"/>
      <c r="E40" s="42"/>
      <c r="F40" s="30" t="str">
        <f>_xlfn.LET(
  _xlpm.ryhma, Table17[[#This Row],[Tavararyhmä]],
  _xlpm.kauttakulku, Table17[[#This Row],[Kauttakulku]],
  _xlpm.tyyppi, Table17[[#This Row],[Kuljetusyksikkötyyppi]],
  _xlpm.lkm, Table17[[#This Row],[Lukumäärä]],
  _xlpm.paino, Table17[[#This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41" spans="1:6" s="9" customFormat="1" outlineLevel="1" x14ac:dyDescent="0.2">
      <c r="A41" s="40"/>
      <c r="B41" s="40"/>
      <c r="C41" s="40"/>
      <c r="D41" s="41"/>
      <c r="E41" s="42"/>
      <c r="F41" s="30" t="str">
        <f>_xlfn.LET(
  _xlpm.ryhma, Table17[[#This Row],[Tavararyhmä]],
  _xlpm.kauttakulku, Table17[[#This Row],[Kauttakulku]],
  _xlpm.tyyppi, Table17[[#This Row],[Kuljetusyksikkötyyppi]],
  _xlpm.lkm, Table17[[#This Row],[Lukumäärä]],
  _xlpm.paino, Table17[[#This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42" spans="1:6" s="9" customFormat="1" outlineLevel="1" x14ac:dyDescent="0.2">
      <c r="A42" s="40"/>
      <c r="B42" s="40"/>
      <c r="C42" s="40"/>
      <c r="D42" s="41"/>
      <c r="E42" s="42"/>
      <c r="F42" s="30" t="str">
        <f>_xlfn.LET(
  _xlpm.ryhma, Table17[[#This Row],[Tavararyhmä]],
  _xlpm.kauttakulku, Table17[[#This Row],[Kauttakulku]],
  _xlpm.tyyppi, Table17[[#This Row],[Kuljetusyksikkötyyppi]],
  _xlpm.lkm, Table17[[#This Row],[Lukumäärä]],
  _xlpm.paino, Table17[[#This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43" spans="1:6" s="9" customFormat="1" outlineLevel="1" x14ac:dyDescent="0.2">
      <c r="A43" s="40"/>
      <c r="B43" s="40"/>
      <c r="C43" s="40"/>
      <c r="D43" s="41"/>
      <c r="E43" s="42"/>
      <c r="F43" s="30" t="str">
        <f>_xlfn.LET(
  _xlpm.ryhma, Table17[[#This Row],[Tavararyhmä]],
  _xlpm.kauttakulku, Table17[[#This Row],[Kauttakulku]],
  _xlpm.tyyppi, Table17[[#This Row],[Kuljetusyksikkötyyppi]],
  _xlpm.lkm, Table17[[#This Row],[Lukumäärä]],
  _xlpm.paino, Table17[[#This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44" spans="1:6" s="9" customFormat="1" outlineLevel="1" x14ac:dyDescent="0.2">
      <c r="A44" s="40"/>
      <c r="B44" s="40"/>
      <c r="C44" s="40"/>
      <c r="D44" s="41"/>
      <c r="E44" s="42"/>
      <c r="F44" s="30" t="str">
        <f>_xlfn.LET(
  _xlpm.ryhma, Table17[[#This Row],[Tavararyhmä]],
  _xlpm.kauttakulku, Table17[[#This Row],[Kauttakulku]],
  _xlpm.tyyppi, Table17[[#This Row],[Kuljetusyksikkötyyppi]],
  _xlpm.lkm, Table17[[#This Row],[Lukumäärä]],
  _xlpm.paino, Table17[[#This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45" spans="1:6" s="9" customFormat="1" ht="17" outlineLevel="1" x14ac:dyDescent="0.2">
      <c r="A45" s="40" t="s">
        <v>51</v>
      </c>
      <c r="B45" s="40">
        <f>COUNTIF(Table17[Kauttakulku],"Kyllä")</f>
        <v>0</v>
      </c>
      <c r="C45" s="40"/>
      <c r="D45" s="41">
        <f>SUBTOTAL(109,Table17[Lukumäärä])</f>
        <v>0</v>
      </c>
      <c r="E45" s="42">
        <f>SUBTOTAL(109,Table17[Bruttopaino])</f>
        <v>0</v>
      </c>
      <c r="F45" s="30"/>
    </row>
    <row r="46" spans="1:6" s="9" customFormat="1" x14ac:dyDescent="0.2">
      <c r="F46" s="30"/>
    </row>
    <row r="47" spans="1:6" s="9" customFormat="1" ht="16" customHeight="1" x14ac:dyDescent="0.2">
      <c r="A47" s="24" t="s">
        <v>15</v>
      </c>
      <c r="B47" s="24"/>
      <c r="C47" s="24"/>
      <c r="D47" s="24"/>
      <c r="E47" s="24"/>
      <c r="F47" s="24"/>
    </row>
    <row r="48" spans="1:6" s="9" customFormat="1" ht="17" x14ac:dyDescent="0.2">
      <c r="A48" s="17" t="s">
        <v>16</v>
      </c>
      <c r="B48" s="17" t="s">
        <v>17</v>
      </c>
      <c r="C48" s="17" t="s">
        <v>18</v>
      </c>
      <c r="E48" s="22"/>
    </row>
    <row r="49" spans="1:6" s="9" customFormat="1" ht="17" x14ac:dyDescent="0.2">
      <c r="A49" s="18" t="s">
        <v>19</v>
      </c>
      <c r="B49" s="18" t="s">
        <v>20</v>
      </c>
      <c r="C49" s="18" t="s">
        <v>21</v>
      </c>
      <c r="E49" s="19"/>
    </row>
    <row r="50" spans="1:6" s="9" customFormat="1" x14ac:dyDescent="0.2">
      <c r="A50" s="35"/>
      <c r="B50" s="37"/>
      <c r="C50" s="37"/>
      <c r="E50" s="22"/>
    </row>
    <row r="51" spans="1:6" s="9" customFormat="1" x14ac:dyDescent="0.2">
      <c r="A51" s="21"/>
      <c r="B51" s="21"/>
      <c r="C51" s="17"/>
      <c r="D51" s="21"/>
      <c r="E51" s="22"/>
    </row>
    <row r="52" spans="1:6" s="9" customFormat="1" ht="17" x14ac:dyDescent="0.2">
      <c r="A52" s="17" t="s">
        <v>22</v>
      </c>
      <c r="B52" s="17" t="s">
        <v>23</v>
      </c>
      <c r="C52" s="17" t="s">
        <v>24</v>
      </c>
      <c r="D52" s="17" t="s">
        <v>25</v>
      </c>
      <c r="E52" s="17" t="s">
        <v>129</v>
      </c>
    </row>
    <row r="53" spans="1:6" s="9" customFormat="1" ht="17" x14ac:dyDescent="0.2">
      <c r="A53" s="18" t="s">
        <v>26</v>
      </c>
      <c r="B53" s="18" t="s">
        <v>27</v>
      </c>
      <c r="C53" s="18" t="s">
        <v>28</v>
      </c>
      <c r="D53" s="18" t="s">
        <v>29</v>
      </c>
      <c r="E53" s="18" t="s">
        <v>128</v>
      </c>
    </row>
    <row r="54" spans="1:6" s="9" customFormat="1" x14ac:dyDescent="0.2">
      <c r="A54" s="35"/>
      <c r="B54" s="38"/>
      <c r="C54" s="39"/>
      <c r="D54" s="35"/>
      <c r="E54" s="38"/>
    </row>
    <row r="55" spans="1:6" s="9" customFormat="1" x14ac:dyDescent="0.2">
      <c r="A55" s="21"/>
      <c r="B55" s="21"/>
      <c r="C55" s="17"/>
      <c r="D55" s="21"/>
      <c r="E55" s="22"/>
    </row>
    <row r="56" spans="1:6" s="9" customFormat="1" ht="17" x14ac:dyDescent="0.2">
      <c r="A56" s="17" t="s">
        <v>30</v>
      </c>
      <c r="B56" s="17" t="s">
        <v>31</v>
      </c>
      <c r="C56" s="17" t="s">
        <v>32</v>
      </c>
      <c r="D56" s="17" t="s">
        <v>33</v>
      </c>
      <c r="E56" s="22"/>
    </row>
    <row r="57" spans="1:6" s="9" customFormat="1" ht="17" x14ac:dyDescent="0.2">
      <c r="A57" s="18" t="s">
        <v>34</v>
      </c>
      <c r="B57" s="25" t="s">
        <v>35</v>
      </c>
      <c r="C57" s="18" t="s">
        <v>36</v>
      </c>
      <c r="D57" s="18" t="s">
        <v>37</v>
      </c>
      <c r="E57" s="22"/>
    </row>
    <row r="58" spans="1:6" s="9" customFormat="1" x14ac:dyDescent="0.2">
      <c r="A58" s="35"/>
      <c r="B58" s="35"/>
      <c r="C58" s="35"/>
      <c r="D58" s="35"/>
      <c r="E58" s="22"/>
    </row>
    <row r="59" spans="1:6" s="9" customFormat="1" x14ac:dyDescent="0.2">
      <c r="A59" s="26"/>
      <c r="B59" s="22"/>
      <c r="C59" s="23"/>
      <c r="D59" s="22"/>
      <c r="E59" s="22"/>
    </row>
    <row r="60" spans="1:6" s="9" customFormat="1" ht="16" customHeight="1" x14ac:dyDescent="0.2">
      <c r="A60" s="27" t="s">
        <v>38</v>
      </c>
      <c r="B60" s="27"/>
      <c r="C60" s="27"/>
      <c r="D60" s="27"/>
      <c r="E60" s="27"/>
      <c r="F60" s="27"/>
    </row>
    <row r="61" spans="1:6" s="9" customFormat="1" ht="17" x14ac:dyDescent="0.2">
      <c r="A61" s="28" t="s">
        <v>39</v>
      </c>
      <c r="B61" s="28"/>
      <c r="C61" s="28"/>
      <c r="D61" s="28"/>
      <c r="E61" s="28"/>
    </row>
    <row r="62" spans="1:6" s="9" customFormat="1" ht="17" outlineLevel="1" x14ac:dyDescent="0.2">
      <c r="A62" s="17" t="s">
        <v>40</v>
      </c>
      <c r="B62" s="17" t="s">
        <v>41</v>
      </c>
      <c r="C62" s="17" t="s">
        <v>42</v>
      </c>
      <c r="D62" s="17" t="s">
        <v>43</v>
      </c>
      <c r="E62" s="17" t="s">
        <v>44</v>
      </c>
    </row>
    <row r="63" spans="1:6" s="9" customFormat="1" ht="17" outlineLevel="1" x14ac:dyDescent="0.2">
      <c r="A63" s="40" t="s">
        <v>45</v>
      </c>
      <c r="B63" s="40" t="s">
        <v>46</v>
      </c>
      <c r="C63" s="40" t="s">
        <v>47</v>
      </c>
      <c r="D63" s="40" t="s">
        <v>48</v>
      </c>
      <c r="E63" s="40" t="s">
        <v>49</v>
      </c>
      <c r="F63" s="29" t="s">
        <v>50</v>
      </c>
    </row>
    <row r="64" spans="1:6" s="9" customFormat="1" outlineLevel="1" x14ac:dyDescent="0.2">
      <c r="A64" s="40"/>
      <c r="B64" s="40"/>
      <c r="C64" s="40"/>
      <c r="D64" s="41"/>
      <c r="E64" s="42"/>
      <c r="F64" s="30" t="str">
        <f>_xlfn.LET(
  _xlpm.ryhma, Table13[[#This Row],[Tavararyhmä]],
  _xlpm.kauttakulku, Table13[[#This Row],[Kauttakulku]],
  _xlpm.tyyppi, Table13[[#This Row],[Kuljetusyksikkötyyppi]],
  _xlpm.lkm, Table13[[#This Row],[Lukumäärä]],
  _xlpm.paino, Table13[[#This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65" spans="1:6" s="9" customFormat="1" outlineLevel="1" x14ac:dyDescent="0.2">
      <c r="A65" s="40"/>
      <c r="B65" s="40"/>
      <c r="C65" s="40"/>
      <c r="D65" s="41"/>
      <c r="E65" s="42"/>
      <c r="F65" s="30" t="str">
        <f>_xlfn.LET(
  _xlpm.ryhma, Table13[[#This Row],[Tavararyhmä]],
  _xlpm.kauttakulku, Table13[[#This Row],[Kauttakulku]],
  _xlpm.tyyppi, Table13[[#This Row],[Kuljetusyksikkötyyppi]],
  _xlpm.lkm, Table13[[#This Row],[Lukumäärä]],
  _xlpm.paino, Table13[[#This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66" spans="1:6" s="9" customFormat="1" outlineLevel="1" x14ac:dyDescent="0.2">
      <c r="A66" s="40"/>
      <c r="B66" s="40"/>
      <c r="C66" s="40"/>
      <c r="D66" s="41"/>
      <c r="E66" s="42"/>
      <c r="F66" s="30" t="str">
        <f>_xlfn.LET(
  _xlpm.ryhma, Table13[[#This Row],[Tavararyhmä]],
  _xlpm.kauttakulku, Table13[[#This Row],[Kauttakulku]],
  _xlpm.tyyppi, Table13[[#This Row],[Kuljetusyksikkötyyppi]],
  _xlpm.lkm, Table13[[#This Row],[Lukumäärä]],
  _xlpm.paino, Table13[[#This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67" spans="1:6" s="9" customFormat="1" outlineLevel="1" x14ac:dyDescent="0.2">
      <c r="A67" s="40"/>
      <c r="B67" s="40"/>
      <c r="C67" s="40"/>
      <c r="D67" s="41"/>
      <c r="E67" s="42"/>
      <c r="F67" s="30" t="str">
        <f>_xlfn.LET(
  _xlpm.ryhma, Table13[[#This Row],[Tavararyhmä]],
  _xlpm.kauttakulku, Table13[[#This Row],[Kauttakulku]],
  _xlpm.tyyppi, Table13[[#This Row],[Kuljetusyksikkötyyppi]],
  _xlpm.lkm, Table13[[#This Row],[Lukumäärä]],
  _xlpm.paino, Table13[[#This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68" spans="1:6" s="9" customFormat="1" outlineLevel="1" x14ac:dyDescent="0.2">
      <c r="A68" s="40"/>
      <c r="B68" s="40"/>
      <c r="C68" s="40"/>
      <c r="D68" s="41"/>
      <c r="E68" s="42"/>
      <c r="F68" s="30" t="str">
        <f>_xlfn.LET(
  _xlpm.ryhma, Table13[[#This Row],[Tavararyhmä]],
  _xlpm.kauttakulku, Table13[[#This Row],[Kauttakulku]],
  _xlpm.tyyppi, Table13[[#This Row],[Kuljetusyksikkötyyppi]],
  _xlpm.lkm, Table13[[#This Row],[Lukumäärä]],
  _xlpm.paino, Table13[[#This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69" spans="1:6" s="9" customFormat="1" ht="17" outlineLevel="1" x14ac:dyDescent="0.2">
      <c r="A69" s="40" t="s">
        <v>51</v>
      </c>
      <c r="B69" s="40">
        <f>COUNTIF(Table13[Kauttakulku],"Kyllä")</f>
        <v>0</v>
      </c>
      <c r="C69" s="40"/>
      <c r="D69" s="41">
        <f>SUBTOTAL(109,Table13[Lukumäärä])</f>
        <v>0</v>
      </c>
      <c r="E69" s="42">
        <f>SUBTOTAL(109,Table13[Bruttopaino])</f>
        <v>0</v>
      </c>
      <c r="F69" s="30"/>
    </row>
    <row r="70" spans="1:6" s="9" customFormat="1" ht="17" x14ac:dyDescent="0.2">
      <c r="A70" s="31" t="str">
        <f>" "</f>
        <v xml:space="preserve"> </v>
      </c>
      <c r="B70" s="31"/>
      <c r="C70" s="31"/>
      <c r="D70" s="32"/>
      <c r="E70" s="33"/>
      <c r="F70" s="34"/>
    </row>
    <row r="71" spans="1:6" s="9" customFormat="1" ht="17" x14ac:dyDescent="0.2">
      <c r="A71" s="28" t="s">
        <v>52</v>
      </c>
      <c r="B71" s="28"/>
      <c r="C71" s="28"/>
      <c r="D71" s="28"/>
      <c r="E71" s="28"/>
    </row>
    <row r="72" spans="1:6" s="9" customFormat="1" ht="17" outlineLevel="1" x14ac:dyDescent="0.2">
      <c r="A72" s="17" t="s">
        <v>53</v>
      </c>
      <c r="B72" s="17" t="s">
        <v>54</v>
      </c>
      <c r="C72" s="17" t="s">
        <v>55</v>
      </c>
      <c r="D72" s="17" t="s">
        <v>56</v>
      </c>
      <c r="E72" s="17" t="s">
        <v>57</v>
      </c>
    </row>
    <row r="73" spans="1:6" s="9" customFormat="1" ht="17" outlineLevel="1" x14ac:dyDescent="0.2">
      <c r="A73" s="40" t="s">
        <v>45</v>
      </c>
      <c r="B73" s="40" t="s">
        <v>46</v>
      </c>
      <c r="C73" s="40" t="s">
        <v>47</v>
      </c>
      <c r="D73" s="40" t="s">
        <v>48</v>
      </c>
      <c r="E73" s="40" t="s">
        <v>49</v>
      </c>
      <c r="F73" s="29" t="s">
        <v>50</v>
      </c>
    </row>
    <row r="74" spans="1:6" s="9" customFormat="1" outlineLevel="1" x14ac:dyDescent="0.2">
      <c r="A74" s="40"/>
      <c r="B74" s="40"/>
      <c r="C74" s="40"/>
      <c r="D74" s="41"/>
      <c r="E74" s="42"/>
      <c r="F74" s="30" t="str">
        <f>_xlfn.LET(
  _xlpm.ryhma, Table174[[#This Row],[Tavararyhmä]],
  _xlpm.kauttakulku, Table174[[#This Row],[Kauttakulku]],
  _xlpm.tyyppi, Table174[[#This Row],[Kuljetusyksikkötyyppi]],
  _xlpm.lkm, Table174[[#This Row],[Lukumäärä]],
  _xlpm.paino, Table174[[#This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75" spans="1:6" s="9" customFormat="1" outlineLevel="1" x14ac:dyDescent="0.2">
      <c r="A75" s="40"/>
      <c r="B75" s="40"/>
      <c r="C75" s="40"/>
      <c r="D75" s="41"/>
      <c r="E75" s="42"/>
      <c r="F75" s="30" t="str">
        <f>_xlfn.LET(
  _xlpm.ryhma, Table174[[#This Row],[Tavararyhmä]],
  _xlpm.kauttakulku, Table174[[#This Row],[Kauttakulku]],
  _xlpm.tyyppi, Table174[[#This Row],[Kuljetusyksikkötyyppi]],
  _xlpm.lkm, Table174[[#This Row],[Lukumäärä]],
  _xlpm.paino, Table174[[#This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76" spans="1:6" s="9" customFormat="1" outlineLevel="1" x14ac:dyDescent="0.2">
      <c r="A76" s="40"/>
      <c r="B76" s="40"/>
      <c r="C76" s="40"/>
      <c r="D76" s="41"/>
      <c r="E76" s="42"/>
      <c r="F76" s="30" t="str">
        <f>_xlfn.LET(
  _xlpm.ryhma, Table174[[#This Row],[Tavararyhmä]],
  _xlpm.kauttakulku, Table174[[#This Row],[Kauttakulku]],
  _xlpm.tyyppi, Table174[[#This Row],[Kuljetusyksikkötyyppi]],
  _xlpm.lkm, Table174[[#This Row],[Lukumäärä]],
  _xlpm.paino, Table174[[#This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77" spans="1:6" s="9" customFormat="1" outlineLevel="1" x14ac:dyDescent="0.2">
      <c r="A77" s="40"/>
      <c r="B77" s="40"/>
      <c r="C77" s="40"/>
      <c r="D77" s="41"/>
      <c r="E77" s="42"/>
      <c r="F77" s="30" t="str">
        <f>_xlfn.LET(
  _xlpm.ryhma, Table174[[#This Row],[Tavararyhmä]],
  _xlpm.kauttakulku, Table174[[#This Row],[Kauttakulku]],
  _xlpm.tyyppi, Table174[[#This Row],[Kuljetusyksikkötyyppi]],
  _xlpm.lkm, Table174[[#This Row],[Lukumäärä]],
  _xlpm.paino, Table174[[#This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78" spans="1:6" s="9" customFormat="1" outlineLevel="1" x14ac:dyDescent="0.2">
      <c r="A78" s="40"/>
      <c r="B78" s="40"/>
      <c r="C78" s="40"/>
      <c r="D78" s="41"/>
      <c r="E78" s="42"/>
      <c r="F78" s="30" t="str">
        <f>_xlfn.LET(
  _xlpm.ryhma, Table174[[#This Row],[Tavararyhmä]],
  _xlpm.kauttakulku, Table174[[#This Row],[Kauttakulku]],
  _xlpm.tyyppi, Table174[[#This Row],[Kuljetusyksikkötyyppi]],
  _xlpm.lkm, Table174[[#This Row],[Lukumäärä]],
  _xlpm.paino, Table174[[#This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79" spans="1:6" s="9" customFormat="1" ht="17" outlineLevel="1" x14ac:dyDescent="0.2">
      <c r="A79" s="40" t="s">
        <v>51</v>
      </c>
      <c r="B79" s="40">
        <f>COUNTIF(Table174[Kauttakulku],"Kyllä")</f>
        <v>0</v>
      </c>
      <c r="C79" s="40"/>
      <c r="D79" s="41">
        <f>SUBTOTAL(109,Table174[Lukumäärä])</f>
        <v>0</v>
      </c>
      <c r="E79" s="42">
        <f>SUBTOTAL(109,Table174[Bruttopaino])</f>
        <v>0</v>
      </c>
      <c r="F79" s="30"/>
    </row>
    <row r="80" spans="1:6" s="9" customFormat="1" x14ac:dyDescent="0.2">
      <c r="F80" s="30"/>
    </row>
    <row r="81" spans="1:6" s="9" customFormat="1" ht="16" customHeight="1" x14ac:dyDescent="0.2">
      <c r="A81" s="24" t="s">
        <v>15</v>
      </c>
      <c r="B81" s="24"/>
      <c r="C81" s="24"/>
      <c r="D81" s="24"/>
      <c r="E81" s="24"/>
      <c r="F81" s="24"/>
    </row>
    <row r="82" spans="1:6" s="9" customFormat="1" ht="17" x14ac:dyDescent="0.2">
      <c r="A82" s="17" t="s">
        <v>16</v>
      </c>
      <c r="B82" s="17" t="s">
        <v>17</v>
      </c>
      <c r="C82" s="17" t="s">
        <v>18</v>
      </c>
      <c r="E82" s="22"/>
    </row>
    <row r="83" spans="1:6" s="9" customFormat="1" ht="17" x14ac:dyDescent="0.2">
      <c r="A83" s="18" t="s">
        <v>19</v>
      </c>
      <c r="B83" s="18" t="s">
        <v>20</v>
      </c>
      <c r="C83" s="18" t="s">
        <v>21</v>
      </c>
      <c r="E83" s="19"/>
    </row>
    <row r="84" spans="1:6" s="9" customFormat="1" x14ac:dyDescent="0.2">
      <c r="A84" s="35"/>
      <c r="B84" s="37"/>
      <c r="C84" s="37"/>
      <c r="E84" s="22"/>
    </row>
    <row r="85" spans="1:6" s="9" customFormat="1" x14ac:dyDescent="0.2">
      <c r="A85" s="21"/>
      <c r="B85" s="21"/>
      <c r="C85" s="17"/>
      <c r="D85" s="21"/>
      <c r="E85" s="22"/>
    </row>
    <row r="86" spans="1:6" s="9" customFormat="1" ht="17" x14ac:dyDescent="0.2">
      <c r="A86" s="17" t="s">
        <v>22</v>
      </c>
      <c r="B86" s="17" t="s">
        <v>23</v>
      </c>
      <c r="C86" s="17" t="s">
        <v>24</v>
      </c>
      <c r="D86" s="17" t="s">
        <v>25</v>
      </c>
      <c r="E86" s="17" t="s">
        <v>129</v>
      </c>
    </row>
    <row r="87" spans="1:6" s="9" customFormat="1" ht="17" x14ac:dyDescent="0.2">
      <c r="A87" s="18" t="s">
        <v>26</v>
      </c>
      <c r="B87" s="18" t="s">
        <v>27</v>
      </c>
      <c r="C87" s="18" t="s">
        <v>28</v>
      </c>
      <c r="D87" s="18" t="s">
        <v>29</v>
      </c>
      <c r="E87" s="18" t="s">
        <v>128</v>
      </c>
    </row>
    <row r="88" spans="1:6" s="9" customFormat="1" x14ac:dyDescent="0.2">
      <c r="A88" s="35"/>
      <c r="B88" s="38"/>
      <c r="C88" s="39"/>
      <c r="D88" s="35"/>
      <c r="E88" s="38"/>
    </row>
    <row r="89" spans="1:6" s="9" customFormat="1" x14ac:dyDescent="0.2">
      <c r="A89" s="21"/>
      <c r="B89" s="21"/>
      <c r="C89" s="17"/>
      <c r="D89" s="21"/>
      <c r="E89" s="22"/>
    </row>
    <row r="90" spans="1:6" s="9" customFormat="1" ht="17" x14ac:dyDescent="0.2">
      <c r="A90" s="17" t="s">
        <v>30</v>
      </c>
      <c r="B90" s="17" t="s">
        <v>31</v>
      </c>
      <c r="C90" s="17" t="s">
        <v>32</v>
      </c>
      <c r="D90" s="17" t="s">
        <v>33</v>
      </c>
      <c r="E90" s="22"/>
    </row>
    <row r="91" spans="1:6" s="9" customFormat="1" ht="17" x14ac:dyDescent="0.2">
      <c r="A91" s="18" t="s">
        <v>34</v>
      </c>
      <c r="B91" s="25" t="s">
        <v>35</v>
      </c>
      <c r="C91" s="18" t="s">
        <v>36</v>
      </c>
      <c r="D91" s="18" t="s">
        <v>37</v>
      </c>
      <c r="E91" s="22"/>
    </row>
    <row r="92" spans="1:6" s="9" customFormat="1" x14ac:dyDescent="0.2">
      <c r="A92" s="35"/>
      <c r="B92" s="35"/>
      <c r="C92" s="35"/>
      <c r="D92" s="35"/>
      <c r="E92" s="22"/>
    </row>
    <row r="93" spans="1:6" s="9" customFormat="1" x14ac:dyDescent="0.2">
      <c r="A93" s="26"/>
      <c r="B93" s="22"/>
      <c r="C93" s="23"/>
      <c r="D93" s="22"/>
      <c r="E93" s="22"/>
    </row>
    <row r="94" spans="1:6" s="9" customFormat="1" ht="16" customHeight="1" x14ac:dyDescent="0.2">
      <c r="A94" s="27" t="s">
        <v>38</v>
      </c>
      <c r="B94" s="27"/>
      <c r="C94" s="27"/>
      <c r="D94" s="27"/>
      <c r="E94" s="27"/>
      <c r="F94" s="27"/>
    </row>
    <row r="95" spans="1:6" s="9" customFormat="1" ht="17" x14ac:dyDescent="0.2">
      <c r="A95" s="28" t="s">
        <v>39</v>
      </c>
      <c r="B95" s="28"/>
      <c r="C95" s="28"/>
      <c r="D95" s="28"/>
      <c r="E95" s="28"/>
    </row>
    <row r="96" spans="1:6" s="9" customFormat="1" ht="17" outlineLevel="1" x14ac:dyDescent="0.2">
      <c r="A96" s="17" t="s">
        <v>40</v>
      </c>
      <c r="B96" s="17" t="s">
        <v>41</v>
      </c>
      <c r="C96" s="17" t="s">
        <v>42</v>
      </c>
      <c r="D96" s="17" t="s">
        <v>43</v>
      </c>
      <c r="E96" s="17" t="s">
        <v>44</v>
      </c>
    </row>
    <row r="97" spans="1:6" s="9" customFormat="1" ht="17" outlineLevel="1" x14ac:dyDescent="0.2">
      <c r="A97" s="40" t="s">
        <v>45</v>
      </c>
      <c r="B97" s="40" t="s">
        <v>46</v>
      </c>
      <c r="C97" s="40" t="s">
        <v>47</v>
      </c>
      <c r="D97" s="40" t="s">
        <v>48</v>
      </c>
      <c r="E97" s="40" t="s">
        <v>49</v>
      </c>
      <c r="F97" s="29" t="s">
        <v>50</v>
      </c>
    </row>
    <row r="98" spans="1:6" s="9" customFormat="1" outlineLevel="1" x14ac:dyDescent="0.2">
      <c r="A98" s="40"/>
      <c r="B98" s="40"/>
      <c r="C98" s="40"/>
      <c r="D98" s="41"/>
      <c r="E98" s="42"/>
      <c r="F98" s="30" t="str">
        <f>_xlfn.LET(
  _xlpm.ryhma, Table15[[#This Row],[Tavararyhmä]],
  _xlpm.kauttakulku, Table15[[#This Row],[Kauttakulku]],
  _xlpm.tyyppi, Table15[[#This Row],[Kuljetusyksikkötyyppi]],
  _xlpm.lkm, Table15[[#This Row],[Lukumäärä]],
  _xlpm.paino, Table15[[#This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99" spans="1:6" s="9" customFormat="1" outlineLevel="1" x14ac:dyDescent="0.2">
      <c r="A99" s="40"/>
      <c r="B99" s="40"/>
      <c r="C99" s="40"/>
      <c r="D99" s="41"/>
      <c r="E99" s="42"/>
      <c r="F99" s="30" t="str">
        <f>_xlfn.LET(
  _xlpm.ryhma, Table15[[#This Row],[Tavararyhmä]],
  _xlpm.kauttakulku, Table15[[#This Row],[Kauttakulku]],
  _xlpm.tyyppi, Table15[[#This Row],[Kuljetusyksikkötyyppi]],
  _xlpm.lkm, Table15[[#This Row],[Lukumäärä]],
  _xlpm.paino, Table15[[#This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00" spans="1:6" s="9" customFormat="1" outlineLevel="1" x14ac:dyDescent="0.2">
      <c r="A100" s="40"/>
      <c r="B100" s="40"/>
      <c r="C100" s="40"/>
      <c r="D100" s="41"/>
      <c r="E100" s="42"/>
      <c r="F100" s="30" t="str">
        <f>_xlfn.LET(
  _xlpm.ryhma, Table15[[#This Row],[Tavararyhmä]],
  _xlpm.kauttakulku, Table15[[#This Row],[Kauttakulku]],
  _xlpm.tyyppi, Table15[[#This Row],[Kuljetusyksikkötyyppi]],
  _xlpm.lkm, Table15[[#This Row],[Lukumäärä]],
  _xlpm.paino, Table15[[#This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01" spans="1:6" s="9" customFormat="1" outlineLevel="1" x14ac:dyDescent="0.2">
      <c r="A101" s="40"/>
      <c r="B101" s="40"/>
      <c r="C101" s="40"/>
      <c r="D101" s="41"/>
      <c r="E101" s="42"/>
      <c r="F101" s="30" t="str">
        <f>_xlfn.LET(
  _xlpm.ryhma, Table15[[#This Row],[Tavararyhmä]],
  _xlpm.kauttakulku, Table15[[#This Row],[Kauttakulku]],
  _xlpm.tyyppi, Table15[[#This Row],[Kuljetusyksikkötyyppi]],
  _xlpm.lkm, Table15[[#This Row],[Lukumäärä]],
  _xlpm.paino, Table15[[#This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02" spans="1:6" s="9" customFormat="1" outlineLevel="1" x14ac:dyDescent="0.2">
      <c r="A102" s="40"/>
      <c r="B102" s="40"/>
      <c r="C102" s="40"/>
      <c r="D102" s="41"/>
      <c r="E102" s="42"/>
      <c r="F102" s="30" t="str">
        <f>_xlfn.LET(
  _xlpm.ryhma, Table15[[#This Row],[Tavararyhmä]],
  _xlpm.kauttakulku, Table15[[#This Row],[Kauttakulku]],
  _xlpm.tyyppi, Table15[[#This Row],[Kuljetusyksikkötyyppi]],
  _xlpm.lkm, Table15[[#This Row],[Lukumäärä]],
  _xlpm.paino, Table15[[#This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03" spans="1:6" s="9" customFormat="1" ht="17" outlineLevel="1" x14ac:dyDescent="0.2">
      <c r="A103" s="40" t="s">
        <v>51</v>
      </c>
      <c r="B103" s="40">
        <f>COUNTIF(Table15[Kauttakulku],"Kyllä")</f>
        <v>0</v>
      </c>
      <c r="C103" s="40"/>
      <c r="D103" s="41">
        <f>SUBTOTAL(109,Table15[Lukumäärä])</f>
        <v>0</v>
      </c>
      <c r="E103" s="42">
        <f>SUBTOTAL(109,Table15[Bruttopaino])</f>
        <v>0</v>
      </c>
      <c r="F103" s="30"/>
    </row>
    <row r="104" spans="1:6" s="9" customFormat="1" ht="17" x14ac:dyDescent="0.2">
      <c r="A104" s="31" t="str">
        <f>" "</f>
        <v xml:space="preserve"> </v>
      </c>
      <c r="B104" s="31"/>
      <c r="C104" s="31"/>
      <c r="D104" s="32"/>
      <c r="E104" s="33"/>
      <c r="F104" s="34"/>
    </row>
    <row r="105" spans="1:6" s="9" customFormat="1" ht="17" x14ac:dyDescent="0.2">
      <c r="A105" s="28" t="s">
        <v>52</v>
      </c>
      <c r="B105" s="28"/>
      <c r="C105" s="28"/>
      <c r="D105" s="28"/>
      <c r="E105" s="28"/>
    </row>
    <row r="106" spans="1:6" s="9" customFormat="1" ht="17" outlineLevel="1" x14ac:dyDescent="0.2">
      <c r="A106" s="17" t="s">
        <v>53</v>
      </c>
      <c r="B106" s="17" t="s">
        <v>54</v>
      </c>
      <c r="C106" s="17" t="s">
        <v>55</v>
      </c>
      <c r="D106" s="17" t="s">
        <v>56</v>
      </c>
      <c r="E106" s="17" t="s">
        <v>57</v>
      </c>
    </row>
    <row r="107" spans="1:6" s="9" customFormat="1" ht="17" outlineLevel="1" x14ac:dyDescent="0.2">
      <c r="A107" s="40" t="s">
        <v>45</v>
      </c>
      <c r="B107" s="40" t="s">
        <v>46</v>
      </c>
      <c r="C107" s="40" t="s">
        <v>47</v>
      </c>
      <c r="D107" s="40" t="s">
        <v>48</v>
      </c>
      <c r="E107" s="40" t="s">
        <v>49</v>
      </c>
      <c r="F107" s="29" t="s">
        <v>50</v>
      </c>
    </row>
    <row r="108" spans="1:6" s="9" customFormat="1" outlineLevel="1" x14ac:dyDescent="0.2">
      <c r="A108" s="40"/>
      <c r="B108" s="40"/>
      <c r="C108" s="40"/>
      <c r="D108" s="41"/>
      <c r="E108" s="42"/>
      <c r="F108" s="30" t="str">
        <f>_xlfn.LET(
  _xlpm.ryhma, Table176[[#This Row],[Tavararyhmä]],
  _xlpm.kauttakulku, Table176[[#This Row],[Kauttakulku]],
  _xlpm.tyyppi, Table176[[#This Row],[Kuljetusyksikkötyyppi]],
  _xlpm.lkm, Table176[[#This Row],[Lukumäärä]],
  _xlpm.paino, Table176[[#This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09" spans="1:6" s="9" customFormat="1" outlineLevel="1" x14ac:dyDescent="0.2">
      <c r="A109" s="40"/>
      <c r="B109" s="40"/>
      <c r="C109" s="40"/>
      <c r="D109" s="41"/>
      <c r="E109" s="42"/>
      <c r="F109" s="30" t="str">
        <f>_xlfn.LET(
  _xlpm.ryhma, Table176[[#This Row],[Tavararyhmä]],
  _xlpm.kauttakulku, Table176[[#This Row],[Kauttakulku]],
  _xlpm.tyyppi, Table176[[#This Row],[Kuljetusyksikkötyyppi]],
  _xlpm.lkm, Table176[[#This Row],[Lukumäärä]],
  _xlpm.paino, Table176[[#This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10" spans="1:6" s="9" customFormat="1" outlineLevel="1" x14ac:dyDescent="0.2">
      <c r="A110" s="40"/>
      <c r="B110" s="40"/>
      <c r="C110" s="40"/>
      <c r="D110" s="41"/>
      <c r="E110" s="42"/>
      <c r="F110" s="30" t="str">
        <f>_xlfn.LET(
  _xlpm.ryhma, Table176[[#This Row],[Tavararyhmä]],
  _xlpm.kauttakulku, Table176[[#This Row],[Kauttakulku]],
  _xlpm.tyyppi, Table176[[#This Row],[Kuljetusyksikkötyyppi]],
  _xlpm.lkm, Table176[[#This Row],[Lukumäärä]],
  _xlpm.paino, Table176[[#This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11" spans="1:6" s="9" customFormat="1" outlineLevel="1" x14ac:dyDescent="0.2">
      <c r="A111" s="40"/>
      <c r="B111" s="40"/>
      <c r="C111" s="40"/>
      <c r="D111" s="41"/>
      <c r="E111" s="42"/>
      <c r="F111" s="30" t="str">
        <f>_xlfn.LET(
  _xlpm.ryhma, Table176[[#This Row],[Tavararyhmä]],
  _xlpm.kauttakulku, Table176[[#This Row],[Kauttakulku]],
  _xlpm.tyyppi, Table176[[#This Row],[Kuljetusyksikkötyyppi]],
  _xlpm.lkm, Table176[[#This Row],[Lukumäärä]],
  _xlpm.paino, Table176[[#This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12" spans="1:6" s="9" customFormat="1" outlineLevel="1" x14ac:dyDescent="0.2">
      <c r="A112" s="40"/>
      <c r="B112" s="40"/>
      <c r="C112" s="40"/>
      <c r="D112" s="41"/>
      <c r="E112" s="42"/>
      <c r="F112" s="30" t="str">
        <f>_xlfn.LET(
  _xlpm.ryhma, Table176[[#This Row],[Tavararyhmä]],
  _xlpm.kauttakulku, Table176[[#This Row],[Kauttakulku]],
  _xlpm.tyyppi, Table176[[#This Row],[Kuljetusyksikkötyyppi]],
  _xlpm.lkm, Table176[[#This Row],[Lukumäärä]],
  _xlpm.paino, Table176[[#This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13" spans="1:6" s="9" customFormat="1" ht="17" outlineLevel="1" x14ac:dyDescent="0.2">
      <c r="A113" s="40" t="s">
        <v>51</v>
      </c>
      <c r="B113" s="40">
        <f>COUNTIF(Table176[Kauttakulku],"Kyllä")</f>
        <v>0</v>
      </c>
      <c r="C113" s="40"/>
      <c r="D113" s="41">
        <f>SUBTOTAL(109,Table176[Lukumäärä])</f>
        <v>0</v>
      </c>
      <c r="E113" s="42">
        <f>SUBTOTAL(109,Table176[Bruttopaino])</f>
        <v>0</v>
      </c>
      <c r="F113" s="30"/>
    </row>
    <row r="114" spans="1:6" s="9" customFormat="1" x14ac:dyDescent="0.2">
      <c r="F114" s="30"/>
    </row>
    <row r="115" spans="1:6" s="9" customFormat="1" ht="16" customHeight="1" x14ac:dyDescent="0.2">
      <c r="A115" s="24" t="s">
        <v>15</v>
      </c>
      <c r="B115" s="24"/>
      <c r="C115" s="24"/>
      <c r="D115" s="24"/>
      <c r="E115" s="24"/>
      <c r="F115" s="24"/>
    </row>
    <row r="116" spans="1:6" s="9" customFormat="1" ht="17" x14ac:dyDescent="0.2">
      <c r="A116" s="17" t="s">
        <v>16</v>
      </c>
      <c r="B116" s="17" t="s">
        <v>17</v>
      </c>
      <c r="C116" s="17" t="s">
        <v>18</v>
      </c>
      <c r="E116" s="22"/>
    </row>
    <row r="117" spans="1:6" s="9" customFormat="1" ht="17" x14ac:dyDescent="0.2">
      <c r="A117" s="18" t="s">
        <v>19</v>
      </c>
      <c r="B117" s="18" t="s">
        <v>20</v>
      </c>
      <c r="C117" s="18" t="s">
        <v>21</v>
      </c>
      <c r="E117" s="19"/>
    </row>
    <row r="118" spans="1:6" s="9" customFormat="1" x14ac:dyDescent="0.2">
      <c r="A118" s="35"/>
      <c r="B118" s="37"/>
      <c r="C118" s="37"/>
      <c r="E118" s="22"/>
    </row>
    <row r="119" spans="1:6" s="9" customFormat="1" x14ac:dyDescent="0.2">
      <c r="A119" s="21"/>
      <c r="B119" s="21"/>
      <c r="C119" s="17"/>
      <c r="D119" s="21"/>
      <c r="E119" s="22"/>
    </row>
    <row r="120" spans="1:6" s="9" customFormat="1" ht="17" x14ac:dyDescent="0.2">
      <c r="A120" s="17" t="s">
        <v>22</v>
      </c>
      <c r="B120" s="17" t="s">
        <v>23</v>
      </c>
      <c r="C120" s="17" t="s">
        <v>24</v>
      </c>
      <c r="D120" s="17" t="s">
        <v>25</v>
      </c>
      <c r="E120" s="17" t="s">
        <v>129</v>
      </c>
    </row>
    <row r="121" spans="1:6" s="9" customFormat="1" ht="17" x14ac:dyDescent="0.2">
      <c r="A121" s="18" t="s">
        <v>26</v>
      </c>
      <c r="B121" s="18" t="s">
        <v>27</v>
      </c>
      <c r="C121" s="18" t="s">
        <v>28</v>
      </c>
      <c r="D121" s="18" t="s">
        <v>29</v>
      </c>
      <c r="E121" s="18" t="s">
        <v>128</v>
      </c>
    </row>
    <row r="122" spans="1:6" s="9" customFormat="1" x14ac:dyDescent="0.2">
      <c r="A122" s="35"/>
      <c r="B122" s="38"/>
      <c r="C122" s="39"/>
      <c r="D122" s="35"/>
      <c r="E122" s="38"/>
    </row>
    <row r="123" spans="1:6" s="9" customFormat="1" x14ac:dyDescent="0.2">
      <c r="A123" s="21"/>
      <c r="B123" s="21"/>
      <c r="C123" s="17"/>
      <c r="D123" s="21"/>
      <c r="E123" s="22"/>
    </row>
    <row r="124" spans="1:6" s="9" customFormat="1" ht="17" x14ac:dyDescent="0.2">
      <c r="A124" s="17" t="s">
        <v>30</v>
      </c>
      <c r="B124" s="17" t="s">
        <v>31</v>
      </c>
      <c r="C124" s="17" t="s">
        <v>32</v>
      </c>
      <c r="D124" s="17" t="s">
        <v>33</v>
      </c>
      <c r="E124" s="22"/>
    </row>
    <row r="125" spans="1:6" s="9" customFormat="1" ht="17" x14ac:dyDescent="0.2">
      <c r="A125" s="18" t="s">
        <v>34</v>
      </c>
      <c r="B125" s="25" t="s">
        <v>35</v>
      </c>
      <c r="C125" s="18" t="s">
        <v>36</v>
      </c>
      <c r="D125" s="18" t="s">
        <v>37</v>
      </c>
      <c r="E125" s="22"/>
    </row>
    <row r="126" spans="1:6" s="9" customFormat="1" x14ac:dyDescent="0.2">
      <c r="A126" s="35"/>
      <c r="B126" s="35"/>
      <c r="C126" s="35"/>
      <c r="D126" s="35"/>
      <c r="E126" s="22"/>
    </row>
    <row r="127" spans="1:6" s="9" customFormat="1" x14ac:dyDescent="0.2">
      <c r="A127" s="26"/>
      <c r="B127" s="22"/>
      <c r="C127" s="23"/>
      <c r="D127" s="22"/>
      <c r="E127" s="22"/>
    </row>
    <row r="128" spans="1:6" s="9" customFormat="1" ht="16" customHeight="1" x14ac:dyDescent="0.2">
      <c r="A128" s="27" t="s">
        <v>38</v>
      </c>
      <c r="B128" s="27"/>
      <c r="C128" s="27"/>
      <c r="D128" s="27"/>
      <c r="E128" s="27"/>
      <c r="F128" s="27"/>
    </row>
    <row r="129" spans="1:6" s="9" customFormat="1" ht="17" x14ac:dyDescent="0.2">
      <c r="A129" s="28" t="s">
        <v>39</v>
      </c>
      <c r="B129" s="28"/>
      <c r="C129" s="28"/>
      <c r="D129" s="28"/>
      <c r="E129" s="28"/>
    </row>
    <row r="130" spans="1:6" s="9" customFormat="1" ht="17" outlineLevel="1" x14ac:dyDescent="0.2">
      <c r="A130" s="17" t="s">
        <v>40</v>
      </c>
      <c r="B130" s="17" t="s">
        <v>41</v>
      </c>
      <c r="C130" s="17" t="s">
        <v>42</v>
      </c>
      <c r="D130" s="17" t="s">
        <v>43</v>
      </c>
      <c r="E130" s="17" t="s">
        <v>44</v>
      </c>
    </row>
    <row r="131" spans="1:6" s="9" customFormat="1" ht="17" outlineLevel="1" x14ac:dyDescent="0.2">
      <c r="A131" s="40" t="s">
        <v>45</v>
      </c>
      <c r="B131" s="40" t="s">
        <v>46</v>
      </c>
      <c r="C131" s="40" t="s">
        <v>47</v>
      </c>
      <c r="D131" s="40" t="s">
        <v>48</v>
      </c>
      <c r="E131" s="40" t="s">
        <v>49</v>
      </c>
      <c r="F131" s="29" t="s">
        <v>50</v>
      </c>
    </row>
    <row r="132" spans="1:6" s="9" customFormat="1" outlineLevel="1" x14ac:dyDescent="0.2">
      <c r="A132" s="40"/>
      <c r="B132" s="40"/>
      <c r="C132" s="40"/>
      <c r="D132" s="41"/>
      <c r="E132" s="42"/>
      <c r="F132" s="30" t="str">
        <f>_xlfn.LET(
  _xlpm.ryhma, Table18[[#This Row],[Tavararyhmä]],
  _xlpm.kauttakulku, Table18[[#This Row],[Kauttakulku]],
  _xlpm.tyyppi, Table18[[#This Row],[Kuljetusyksikkötyyppi]],
  _xlpm.lkm, Table18[[#This Row],[Lukumäärä]],
  _xlpm.paino, Table18[[#This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33" spans="1:6" s="9" customFormat="1" outlineLevel="1" x14ac:dyDescent="0.2">
      <c r="A133" s="40"/>
      <c r="B133" s="40"/>
      <c r="C133" s="40"/>
      <c r="D133" s="41"/>
      <c r="E133" s="42"/>
      <c r="F133" s="30" t="str">
        <f>_xlfn.LET(
  _xlpm.ryhma, Table18[[#This Row],[Tavararyhmä]],
  _xlpm.kauttakulku, Table18[[#This Row],[Kauttakulku]],
  _xlpm.tyyppi, Table18[[#This Row],[Kuljetusyksikkötyyppi]],
  _xlpm.lkm, Table18[[#This Row],[Lukumäärä]],
  _xlpm.paino, Table18[[#This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34" spans="1:6" s="9" customFormat="1" outlineLevel="1" x14ac:dyDescent="0.2">
      <c r="A134" s="40"/>
      <c r="B134" s="40"/>
      <c r="C134" s="40"/>
      <c r="D134" s="41"/>
      <c r="E134" s="42"/>
      <c r="F134" s="30" t="str">
        <f>_xlfn.LET(
  _xlpm.ryhma, Table18[[#This Row],[Tavararyhmä]],
  _xlpm.kauttakulku, Table18[[#This Row],[Kauttakulku]],
  _xlpm.tyyppi, Table18[[#This Row],[Kuljetusyksikkötyyppi]],
  _xlpm.lkm, Table18[[#This Row],[Lukumäärä]],
  _xlpm.paino, Table18[[#This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35" spans="1:6" s="9" customFormat="1" outlineLevel="1" x14ac:dyDescent="0.2">
      <c r="A135" s="40"/>
      <c r="B135" s="40"/>
      <c r="C135" s="40"/>
      <c r="D135" s="41"/>
      <c r="E135" s="42"/>
      <c r="F135" s="30" t="str">
        <f>_xlfn.LET(
  _xlpm.ryhma, Table18[[#This Row],[Tavararyhmä]],
  _xlpm.kauttakulku, Table18[[#This Row],[Kauttakulku]],
  _xlpm.tyyppi, Table18[[#This Row],[Kuljetusyksikkötyyppi]],
  _xlpm.lkm, Table18[[#This Row],[Lukumäärä]],
  _xlpm.paino, Table18[[#This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36" spans="1:6" s="9" customFormat="1" outlineLevel="1" x14ac:dyDescent="0.2">
      <c r="A136" s="40"/>
      <c r="B136" s="40"/>
      <c r="C136" s="40"/>
      <c r="D136" s="41"/>
      <c r="E136" s="42"/>
      <c r="F136" s="30" t="str">
        <f>_xlfn.LET(
  _xlpm.ryhma, Table18[[#This Row],[Tavararyhmä]],
  _xlpm.kauttakulku, Table18[[#This Row],[Kauttakulku]],
  _xlpm.tyyppi, Table18[[#This Row],[Kuljetusyksikkötyyppi]],
  _xlpm.lkm, Table18[[#This Row],[Lukumäärä]],
  _xlpm.paino, Table18[[#This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37" spans="1:6" s="9" customFormat="1" ht="17" outlineLevel="1" x14ac:dyDescent="0.2">
      <c r="A137" s="40" t="s">
        <v>51</v>
      </c>
      <c r="B137" s="40">
        <f>COUNTIF(Table18[Kauttakulku],"Kyllä")</f>
        <v>0</v>
      </c>
      <c r="C137" s="40"/>
      <c r="D137" s="41">
        <f>SUBTOTAL(109,Table18[Lukumäärä])</f>
        <v>0</v>
      </c>
      <c r="E137" s="42">
        <f>SUBTOTAL(109,Table18[Bruttopaino])</f>
        <v>0</v>
      </c>
      <c r="F137" s="30"/>
    </row>
    <row r="138" spans="1:6" s="9" customFormat="1" ht="17" x14ac:dyDescent="0.2">
      <c r="A138" s="31" t="str">
        <f>" "</f>
        <v xml:space="preserve"> </v>
      </c>
      <c r="B138" s="31"/>
      <c r="C138" s="31"/>
      <c r="D138" s="32"/>
      <c r="E138" s="33"/>
      <c r="F138" s="34"/>
    </row>
    <row r="139" spans="1:6" s="9" customFormat="1" ht="17" x14ac:dyDescent="0.2">
      <c r="A139" s="28" t="s">
        <v>52</v>
      </c>
      <c r="B139" s="28"/>
      <c r="C139" s="28"/>
      <c r="D139" s="28"/>
      <c r="E139" s="28"/>
    </row>
    <row r="140" spans="1:6" s="9" customFormat="1" ht="17" outlineLevel="1" x14ac:dyDescent="0.2">
      <c r="A140" s="17" t="s">
        <v>53</v>
      </c>
      <c r="B140" s="17" t="s">
        <v>54</v>
      </c>
      <c r="C140" s="17" t="s">
        <v>55</v>
      </c>
      <c r="D140" s="17" t="s">
        <v>56</v>
      </c>
      <c r="E140" s="17" t="s">
        <v>57</v>
      </c>
    </row>
    <row r="141" spans="1:6" s="9" customFormat="1" ht="17" outlineLevel="1" x14ac:dyDescent="0.2">
      <c r="A141" s="40" t="s">
        <v>45</v>
      </c>
      <c r="B141" s="40" t="s">
        <v>46</v>
      </c>
      <c r="C141" s="40" t="s">
        <v>47</v>
      </c>
      <c r="D141" s="40" t="s">
        <v>48</v>
      </c>
      <c r="E141" s="40" t="s">
        <v>49</v>
      </c>
      <c r="F141" s="29" t="s">
        <v>50</v>
      </c>
    </row>
    <row r="142" spans="1:6" s="9" customFormat="1" outlineLevel="1" x14ac:dyDescent="0.2">
      <c r="A142" s="40"/>
      <c r="B142" s="40"/>
      <c r="C142" s="40"/>
      <c r="D142" s="41"/>
      <c r="E142" s="42"/>
      <c r="F142" s="30" t="str">
        <f>_xlfn.LET(
  _xlpm.ryhma, Table179[[#This Row],[Tavararyhmä]],
  _xlpm.kauttakulku, Table179[[#This Row],[Kauttakulku]],
  _xlpm.tyyppi, Table179[[#This Row],[Kuljetusyksikkötyyppi]],
  _xlpm.lkm, Table179[[#This Row],[Lukumäärä]],
  _xlpm.paino, Table179[[#This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43" spans="1:6" s="9" customFormat="1" outlineLevel="1" x14ac:dyDescent="0.2">
      <c r="A143" s="40"/>
      <c r="B143" s="40"/>
      <c r="C143" s="40"/>
      <c r="D143" s="41"/>
      <c r="E143" s="42"/>
      <c r="F143" s="30" t="str">
        <f>_xlfn.LET(
  _xlpm.ryhma, Table179[[#This Row],[Tavararyhmä]],
  _xlpm.kauttakulku, Table179[[#This Row],[Kauttakulku]],
  _xlpm.tyyppi, Table179[[#This Row],[Kuljetusyksikkötyyppi]],
  _xlpm.lkm, Table179[[#This Row],[Lukumäärä]],
  _xlpm.paino, Table179[[#This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44" spans="1:6" s="9" customFormat="1" outlineLevel="1" x14ac:dyDescent="0.2">
      <c r="A144" s="40"/>
      <c r="B144" s="40"/>
      <c r="C144" s="40"/>
      <c r="D144" s="41"/>
      <c r="E144" s="42"/>
      <c r="F144" s="30" t="str">
        <f>_xlfn.LET(
  _xlpm.ryhma, Table179[[#This Row],[Tavararyhmä]],
  _xlpm.kauttakulku, Table179[[#This Row],[Kauttakulku]],
  _xlpm.tyyppi, Table179[[#This Row],[Kuljetusyksikkötyyppi]],
  _xlpm.lkm, Table179[[#This Row],[Lukumäärä]],
  _xlpm.paino, Table179[[#This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45" spans="1:6" s="9" customFormat="1" outlineLevel="1" x14ac:dyDescent="0.2">
      <c r="A145" s="40"/>
      <c r="B145" s="40"/>
      <c r="C145" s="40"/>
      <c r="D145" s="41"/>
      <c r="E145" s="42"/>
      <c r="F145" s="30" t="str">
        <f>_xlfn.LET(
  _xlpm.ryhma, Table179[[#This Row],[Tavararyhmä]],
  _xlpm.kauttakulku, Table179[[#This Row],[Kauttakulku]],
  _xlpm.tyyppi, Table179[[#This Row],[Kuljetusyksikkötyyppi]],
  _xlpm.lkm, Table179[[#This Row],[Lukumäärä]],
  _xlpm.paino, Table179[[#This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46" spans="1:6" s="9" customFormat="1" outlineLevel="1" x14ac:dyDescent="0.2">
      <c r="A146" s="40"/>
      <c r="B146" s="40"/>
      <c r="C146" s="40"/>
      <c r="D146" s="41"/>
      <c r="E146" s="42"/>
      <c r="F146" s="30" t="str">
        <f>_xlfn.LET(
  _xlpm.ryhma, Table179[[#This Row],[Tavararyhmä]],
  _xlpm.kauttakulku, Table179[[#This Row],[Kauttakulku]],
  _xlpm.tyyppi, Table179[[#This Row],[Kuljetusyksikkötyyppi]],
  _xlpm.lkm, Table179[[#This Row],[Lukumäärä]],
  _xlpm.paino, Table179[[#This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47" spans="1:6" s="9" customFormat="1" ht="17" outlineLevel="1" x14ac:dyDescent="0.2">
      <c r="A147" s="40" t="s">
        <v>51</v>
      </c>
      <c r="B147" s="40">
        <f>COUNTIF(Table179[Kauttakulku],"Kyllä")</f>
        <v>0</v>
      </c>
      <c r="C147" s="40"/>
      <c r="D147" s="41">
        <f>SUBTOTAL(109,Table179[Lukumäärä])</f>
        <v>0</v>
      </c>
      <c r="E147" s="42">
        <f>SUBTOTAL(109,Table179[Bruttopaino])</f>
        <v>0</v>
      </c>
      <c r="F147" s="30"/>
    </row>
    <row r="148" spans="1:6" s="9" customFormat="1" x14ac:dyDescent="0.2">
      <c r="F148" s="30"/>
    </row>
    <row r="149" spans="1:6" s="9" customFormat="1" ht="16" customHeight="1" x14ac:dyDescent="0.2">
      <c r="A149" s="24" t="s">
        <v>15</v>
      </c>
      <c r="B149" s="24"/>
      <c r="C149" s="24"/>
      <c r="D149" s="24"/>
      <c r="E149" s="24"/>
      <c r="F149" s="24"/>
    </row>
    <row r="150" spans="1:6" s="9" customFormat="1" ht="17" x14ac:dyDescent="0.2">
      <c r="A150" s="17" t="s">
        <v>16</v>
      </c>
      <c r="B150" s="17" t="s">
        <v>17</v>
      </c>
      <c r="C150" s="17" t="s">
        <v>18</v>
      </c>
      <c r="E150" s="22"/>
    </row>
    <row r="151" spans="1:6" s="9" customFormat="1" ht="17" x14ac:dyDescent="0.2">
      <c r="A151" s="18" t="s">
        <v>19</v>
      </c>
      <c r="B151" s="18" t="s">
        <v>20</v>
      </c>
      <c r="C151" s="18" t="s">
        <v>21</v>
      </c>
      <c r="E151" s="19"/>
    </row>
    <row r="152" spans="1:6" s="9" customFormat="1" x14ac:dyDescent="0.2">
      <c r="A152" s="35"/>
      <c r="B152" s="37"/>
      <c r="C152" s="37"/>
      <c r="E152" s="22"/>
    </row>
    <row r="153" spans="1:6" s="9" customFormat="1" x14ac:dyDescent="0.2">
      <c r="A153" s="21"/>
      <c r="B153" s="21"/>
      <c r="C153" s="17"/>
      <c r="D153" s="21"/>
      <c r="E153" s="22"/>
    </row>
    <row r="154" spans="1:6" s="9" customFormat="1" ht="17" x14ac:dyDescent="0.2">
      <c r="A154" s="17" t="s">
        <v>22</v>
      </c>
      <c r="B154" s="17" t="s">
        <v>23</v>
      </c>
      <c r="C154" s="17" t="s">
        <v>24</v>
      </c>
      <c r="D154" s="17" t="s">
        <v>25</v>
      </c>
      <c r="E154" s="17" t="s">
        <v>129</v>
      </c>
    </row>
    <row r="155" spans="1:6" s="9" customFormat="1" ht="17" x14ac:dyDescent="0.2">
      <c r="A155" s="18" t="s">
        <v>26</v>
      </c>
      <c r="B155" s="18" t="s">
        <v>27</v>
      </c>
      <c r="C155" s="18" t="s">
        <v>28</v>
      </c>
      <c r="D155" s="18" t="s">
        <v>29</v>
      </c>
      <c r="E155" s="18" t="s">
        <v>128</v>
      </c>
    </row>
    <row r="156" spans="1:6" s="9" customFormat="1" x14ac:dyDescent="0.2">
      <c r="A156" s="35"/>
      <c r="B156" s="38"/>
      <c r="C156" s="39"/>
      <c r="D156" s="35"/>
      <c r="E156" s="38"/>
    </row>
    <row r="157" spans="1:6" s="9" customFormat="1" x14ac:dyDescent="0.2">
      <c r="A157" s="21"/>
      <c r="B157" s="21"/>
      <c r="C157" s="17"/>
      <c r="D157" s="21"/>
      <c r="E157" s="22"/>
    </row>
    <row r="158" spans="1:6" s="9" customFormat="1" ht="17" x14ac:dyDescent="0.2">
      <c r="A158" s="17" t="s">
        <v>30</v>
      </c>
      <c r="B158" s="17" t="s">
        <v>31</v>
      </c>
      <c r="C158" s="17" t="s">
        <v>32</v>
      </c>
      <c r="D158" s="17" t="s">
        <v>33</v>
      </c>
      <c r="E158" s="22"/>
    </row>
    <row r="159" spans="1:6" s="9" customFormat="1" ht="17" x14ac:dyDescent="0.2">
      <c r="A159" s="18" t="s">
        <v>34</v>
      </c>
      <c r="B159" s="25" t="s">
        <v>35</v>
      </c>
      <c r="C159" s="18" t="s">
        <v>36</v>
      </c>
      <c r="D159" s="18" t="s">
        <v>37</v>
      </c>
      <c r="E159" s="22"/>
    </row>
    <row r="160" spans="1:6" s="9" customFormat="1" x14ac:dyDescent="0.2">
      <c r="A160" s="35"/>
      <c r="B160" s="35"/>
      <c r="C160" s="35"/>
      <c r="D160" s="35"/>
      <c r="E160" s="22"/>
    </row>
    <row r="161" spans="1:6" s="9" customFormat="1" x14ac:dyDescent="0.2">
      <c r="A161" s="26"/>
      <c r="B161" s="22"/>
      <c r="C161" s="23"/>
      <c r="D161" s="22"/>
      <c r="E161" s="22"/>
    </row>
    <row r="162" spans="1:6" s="9" customFormat="1" ht="16" customHeight="1" x14ac:dyDescent="0.2">
      <c r="A162" s="27" t="s">
        <v>38</v>
      </c>
      <c r="B162" s="27"/>
      <c r="C162" s="27"/>
      <c r="D162" s="27"/>
      <c r="E162" s="27"/>
      <c r="F162" s="27"/>
    </row>
    <row r="163" spans="1:6" s="9" customFormat="1" ht="17" x14ac:dyDescent="0.2">
      <c r="A163" s="28" t="s">
        <v>39</v>
      </c>
      <c r="B163" s="28"/>
      <c r="C163" s="28"/>
      <c r="D163" s="28"/>
      <c r="E163" s="28"/>
    </row>
    <row r="164" spans="1:6" s="9" customFormat="1" ht="17" outlineLevel="1" x14ac:dyDescent="0.2">
      <c r="A164" s="17" t="s">
        <v>40</v>
      </c>
      <c r="B164" s="17" t="s">
        <v>41</v>
      </c>
      <c r="C164" s="17" t="s">
        <v>42</v>
      </c>
      <c r="D164" s="17" t="s">
        <v>43</v>
      </c>
      <c r="E164" s="17" t="s">
        <v>44</v>
      </c>
    </row>
    <row r="165" spans="1:6" s="9" customFormat="1" ht="17" outlineLevel="1" x14ac:dyDescent="0.2">
      <c r="A165" s="40" t="s">
        <v>45</v>
      </c>
      <c r="B165" s="40" t="s">
        <v>46</v>
      </c>
      <c r="C165" s="40" t="s">
        <v>47</v>
      </c>
      <c r="D165" s="40" t="s">
        <v>48</v>
      </c>
      <c r="E165" s="40" t="s">
        <v>49</v>
      </c>
      <c r="F165" s="29" t="s">
        <v>50</v>
      </c>
    </row>
    <row r="166" spans="1:6" s="9" customFormat="1" outlineLevel="1" x14ac:dyDescent="0.2">
      <c r="A166" s="40"/>
      <c r="B166" s="40"/>
      <c r="C166" s="40"/>
      <c r="D166" s="41"/>
      <c r="E166" s="42"/>
      <c r="F166" s="30" t="str">
        <f>_xlfn.LET(
  _xlpm.ryhma, Table110[[#This Row],[Tavararyhmä]],
  _xlpm.kauttakulku, Table110[[#This Row],[Kauttakulku]],
  _xlpm.tyyppi, Table110[[#This Row],[Kuljetusyksikkötyyppi]],
  _xlpm.lkm, Table110[[#This Row],[Lukumäärä]],
  _xlpm.paino, Table110[[#This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67" spans="1:6" s="9" customFormat="1" outlineLevel="1" x14ac:dyDescent="0.2">
      <c r="A167" s="40"/>
      <c r="B167" s="40"/>
      <c r="C167" s="40"/>
      <c r="D167" s="41"/>
      <c r="E167" s="42"/>
      <c r="F167" s="30" t="str">
        <f>_xlfn.LET(
  _xlpm.ryhma, Table110[[#This Row],[Tavararyhmä]],
  _xlpm.kauttakulku, Table110[[#This Row],[Kauttakulku]],
  _xlpm.tyyppi, Table110[[#This Row],[Kuljetusyksikkötyyppi]],
  _xlpm.lkm, Table110[[#This Row],[Lukumäärä]],
  _xlpm.paino, Table110[[#This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68" spans="1:6" s="9" customFormat="1" outlineLevel="1" x14ac:dyDescent="0.2">
      <c r="A168" s="40"/>
      <c r="B168" s="40"/>
      <c r="C168" s="40"/>
      <c r="D168" s="41"/>
      <c r="E168" s="42"/>
      <c r="F168" s="30" t="str">
        <f>_xlfn.LET(
  _xlpm.ryhma, Table110[[#This Row],[Tavararyhmä]],
  _xlpm.kauttakulku, Table110[[#This Row],[Kauttakulku]],
  _xlpm.tyyppi, Table110[[#This Row],[Kuljetusyksikkötyyppi]],
  _xlpm.lkm, Table110[[#This Row],[Lukumäärä]],
  _xlpm.paino, Table110[[#This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69" spans="1:6" s="9" customFormat="1" outlineLevel="1" x14ac:dyDescent="0.2">
      <c r="A169" s="40"/>
      <c r="B169" s="40"/>
      <c r="C169" s="40"/>
      <c r="D169" s="41"/>
      <c r="E169" s="42"/>
      <c r="F169" s="30" t="str">
        <f>_xlfn.LET(
  _xlpm.ryhma, Table110[[#This Row],[Tavararyhmä]],
  _xlpm.kauttakulku, Table110[[#This Row],[Kauttakulku]],
  _xlpm.tyyppi, Table110[[#This Row],[Kuljetusyksikkötyyppi]],
  _xlpm.lkm, Table110[[#This Row],[Lukumäärä]],
  _xlpm.paino, Table110[[#This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70" spans="1:6" s="9" customFormat="1" outlineLevel="1" x14ac:dyDescent="0.2">
      <c r="A170" s="40"/>
      <c r="B170" s="40"/>
      <c r="C170" s="40"/>
      <c r="D170" s="41"/>
      <c r="E170" s="42"/>
      <c r="F170" s="30" t="str">
        <f>_xlfn.LET(
  _xlpm.ryhma, Table110[[#This Row],[Tavararyhmä]],
  _xlpm.kauttakulku, Table110[[#This Row],[Kauttakulku]],
  _xlpm.tyyppi, Table110[[#This Row],[Kuljetusyksikkötyyppi]],
  _xlpm.lkm, Table110[[#This Row],[Lukumäärä]],
  _xlpm.paino, Table110[[#This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71" spans="1:6" s="9" customFormat="1" ht="17" outlineLevel="1" x14ac:dyDescent="0.2">
      <c r="A171" s="40" t="s">
        <v>51</v>
      </c>
      <c r="B171" s="40">
        <f>COUNTIF(Table110[Kauttakulku],"Kyllä")</f>
        <v>0</v>
      </c>
      <c r="C171" s="40"/>
      <c r="D171" s="41">
        <f>SUBTOTAL(109,Table110[Lukumäärä])</f>
        <v>0</v>
      </c>
      <c r="E171" s="42">
        <f>SUBTOTAL(109,Table110[Bruttopaino])</f>
        <v>0</v>
      </c>
      <c r="F171" s="30"/>
    </row>
    <row r="172" spans="1:6" s="9" customFormat="1" ht="17" x14ac:dyDescent="0.2">
      <c r="A172" s="31" t="str">
        <f>" "</f>
        <v xml:space="preserve"> </v>
      </c>
      <c r="B172" s="31"/>
      <c r="C172" s="31"/>
      <c r="D172" s="32"/>
      <c r="E172" s="33"/>
      <c r="F172" s="34"/>
    </row>
    <row r="173" spans="1:6" s="9" customFormat="1" ht="17" x14ac:dyDescent="0.2">
      <c r="A173" s="28" t="s">
        <v>52</v>
      </c>
      <c r="B173" s="28"/>
      <c r="C173" s="28"/>
      <c r="D173" s="28"/>
      <c r="E173" s="28"/>
    </row>
    <row r="174" spans="1:6" s="9" customFormat="1" ht="17" outlineLevel="1" x14ac:dyDescent="0.2">
      <c r="A174" s="17" t="s">
        <v>53</v>
      </c>
      <c r="B174" s="17" t="s">
        <v>54</v>
      </c>
      <c r="C174" s="17" t="s">
        <v>55</v>
      </c>
      <c r="D174" s="17" t="s">
        <v>56</v>
      </c>
      <c r="E174" s="17" t="s">
        <v>57</v>
      </c>
    </row>
    <row r="175" spans="1:6" s="9" customFormat="1" ht="17" outlineLevel="1" x14ac:dyDescent="0.2">
      <c r="A175" s="40" t="s">
        <v>45</v>
      </c>
      <c r="B175" s="40" t="s">
        <v>46</v>
      </c>
      <c r="C175" s="40" t="s">
        <v>47</v>
      </c>
      <c r="D175" s="40" t="s">
        <v>48</v>
      </c>
      <c r="E175" s="40" t="s">
        <v>49</v>
      </c>
      <c r="F175" s="29" t="s">
        <v>50</v>
      </c>
    </row>
    <row r="176" spans="1:6" s="9" customFormat="1" outlineLevel="1" x14ac:dyDescent="0.2">
      <c r="A176" s="40"/>
      <c r="B176" s="40"/>
      <c r="C176" s="40"/>
      <c r="D176" s="41"/>
      <c r="E176" s="42"/>
      <c r="F176" s="30" t="str">
        <f>_xlfn.LET(
  _xlpm.ryhma, Table1711[[#This Row],[Tavararyhmä]],
  _xlpm.kauttakulku, Table1711[[#This Row],[Kauttakulku]],
  _xlpm.tyyppi, Table1711[[#This Row],[Kuljetusyksikkötyyppi]],
  _xlpm.lkm, Table1711[[#This Row],[Lukumäärä]],
  _xlpm.paino, Table1711[[#This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77" spans="1:6" s="9" customFormat="1" outlineLevel="1" x14ac:dyDescent="0.2">
      <c r="A177" s="40"/>
      <c r="B177" s="40"/>
      <c r="C177" s="40"/>
      <c r="D177" s="41"/>
      <c r="E177" s="42"/>
      <c r="F177" s="30" t="str">
        <f>_xlfn.LET(
  _xlpm.ryhma, Table1711[[#This Row],[Tavararyhmä]],
  _xlpm.kauttakulku, Table1711[[#This Row],[Kauttakulku]],
  _xlpm.tyyppi, Table1711[[#This Row],[Kuljetusyksikkötyyppi]],
  _xlpm.lkm, Table1711[[#This Row],[Lukumäärä]],
  _xlpm.paino, Table1711[[#This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78" spans="1:6" s="9" customFormat="1" outlineLevel="1" x14ac:dyDescent="0.2">
      <c r="A178" s="40"/>
      <c r="B178" s="40"/>
      <c r="C178" s="40"/>
      <c r="D178" s="41"/>
      <c r="E178" s="42"/>
      <c r="F178" s="30" t="str">
        <f>_xlfn.LET(
  _xlpm.ryhma, Table1711[[#This Row],[Tavararyhmä]],
  _xlpm.kauttakulku, Table1711[[#This Row],[Kauttakulku]],
  _xlpm.tyyppi, Table1711[[#This Row],[Kuljetusyksikkötyyppi]],
  _xlpm.lkm, Table1711[[#This Row],[Lukumäärä]],
  _xlpm.paino, Table1711[[#This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79" spans="1:6" s="9" customFormat="1" outlineLevel="1" x14ac:dyDescent="0.2">
      <c r="A179" s="40"/>
      <c r="B179" s="40"/>
      <c r="C179" s="40"/>
      <c r="D179" s="41"/>
      <c r="E179" s="42"/>
      <c r="F179" s="30" t="str">
        <f>_xlfn.LET(
  _xlpm.ryhma, Table1711[[#This Row],[Tavararyhmä]],
  _xlpm.kauttakulku, Table1711[[#This Row],[Kauttakulku]],
  _xlpm.tyyppi, Table1711[[#This Row],[Kuljetusyksikkötyyppi]],
  _xlpm.lkm, Table1711[[#This Row],[Lukumäärä]],
  _xlpm.paino, Table1711[[#This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80" spans="1:6" s="9" customFormat="1" outlineLevel="1" x14ac:dyDescent="0.2">
      <c r="A180" s="40"/>
      <c r="B180" s="40"/>
      <c r="C180" s="40"/>
      <c r="D180" s="41"/>
      <c r="E180" s="42"/>
      <c r="F180" s="30" t="str">
        <f>_xlfn.LET(
  _xlpm.ryhma, Table1711[[#This Row],[Tavararyhmä]],
  _xlpm.kauttakulku, Table1711[[#This Row],[Kauttakulku]],
  _xlpm.tyyppi, Table1711[[#This Row],[Kuljetusyksikkötyyppi]],
  _xlpm.lkm, Table1711[[#This Row],[Lukumäärä]],
  _xlpm.paino, Table1711[[#This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181" spans="1:6" s="9" customFormat="1" ht="17" outlineLevel="1" x14ac:dyDescent="0.2">
      <c r="A181" s="40" t="s">
        <v>51</v>
      </c>
      <c r="B181" s="40">
        <f>COUNTIF(Table1711[Kauttakulku],"Kyllä")</f>
        <v>0</v>
      </c>
      <c r="C181" s="40"/>
      <c r="D181" s="41">
        <f>SUBTOTAL(109,Table1711[Lukumäärä])</f>
        <v>0</v>
      </c>
      <c r="E181" s="42">
        <f>SUBTOTAL(109,Table1711[Bruttopaino])</f>
        <v>0</v>
      </c>
      <c r="F181" s="30"/>
    </row>
    <row r="182" spans="1:6" s="9" customFormat="1" x14ac:dyDescent="0.2">
      <c r="F182" s="30"/>
    </row>
    <row r="183" spans="1:6" s="9" customFormat="1" ht="16" customHeight="1" x14ac:dyDescent="0.2">
      <c r="A183" s="24" t="s">
        <v>15</v>
      </c>
      <c r="B183" s="24"/>
      <c r="C183" s="24"/>
      <c r="D183" s="24"/>
      <c r="E183" s="24"/>
      <c r="F183" s="24"/>
    </row>
    <row r="184" spans="1:6" s="9" customFormat="1" ht="17" x14ac:dyDescent="0.2">
      <c r="A184" s="17" t="s">
        <v>16</v>
      </c>
      <c r="B184" s="17" t="s">
        <v>17</v>
      </c>
      <c r="C184" s="17" t="s">
        <v>18</v>
      </c>
      <c r="E184" s="22"/>
    </row>
    <row r="185" spans="1:6" s="9" customFormat="1" ht="17" x14ac:dyDescent="0.2">
      <c r="A185" s="18" t="s">
        <v>19</v>
      </c>
      <c r="B185" s="18" t="s">
        <v>20</v>
      </c>
      <c r="C185" s="18" t="s">
        <v>21</v>
      </c>
      <c r="E185" s="19"/>
    </row>
    <row r="186" spans="1:6" s="9" customFormat="1" x14ac:dyDescent="0.2">
      <c r="A186" s="35"/>
      <c r="B186" s="37"/>
      <c r="C186" s="37"/>
      <c r="E186" s="22"/>
    </row>
    <row r="187" spans="1:6" s="9" customFormat="1" x14ac:dyDescent="0.2">
      <c r="A187" s="21"/>
      <c r="B187" s="21"/>
      <c r="C187" s="17"/>
      <c r="D187" s="21"/>
      <c r="E187" s="22"/>
    </row>
    <row r="188" spans="1:6" s="9" customFormat="1" ht="17" x14ac:dyDescent="0.2">
      <c r="A188" s="17" t="s">
        <v>22</v>
      </c>
      <c r="B188" s="17" t="s">
        <v>23</v>
      </c>
      <c r="C188" s="17" t="s">
        <v>24</v>
      </c>
      <c r="D188" s="17" t="s">
        <v>25</v>
      </c>
      <c r="E188" s="17" t="s">
        <v>129</v>
      </c>
    </row>
    <row r="189" spans="1:6" s="9" customFormat="1" ht="17" x14ac:dyDescent="0.2">
      <c r="A189" s="18" t="s">
        <v>26</v>
      </c>
      <c r="B189" s="18" t="s">
        <v>27</v>
      </c>
      <c r="C189" s="18" t="s">
        <v>28</v>
      </c>
      <c r="D189" s="18" t="s">
        <v>29</v>
      </c>
      <c r="E189" s="18" t="s">
        <v>128</v>
      </c>
    </row>
    <row r="190" spans="1:6" s="9" customFormat="1" x14ac:dyDescent="0.2">
      <c r="A190" s="35"/>
      <c r="B190" s="38"/>
      <c r="C190" s="39"/>
      <c r="D190" s="35"/>
      <c r="E190" s="38"/>
    </row>
    <row r="191" spans="1:6" s="9" customFormat="1" x14ac:dyDescent="0.2">
      <c r="A191" s="21"/>
      <c r="B191" s="21"/>
      <c r="C191" s="17"/>
      <c r="D191" s="21"/>
      <c r="E191" s="22"/>
    </row>
    <row r="192" spans="1:6" s="9" customFormat="1" ht="17" x14ac:dyDescent="0.2">
      <c r="A192" s="17" t="s">
        <v>30</v>
      </c>
      <c r="B192" s="17" t="s">
        <v>31</v>
      </c>
      <c r="C192" s="17" t="s">
        <v>32</v>
      </c>
      <c r="D192" s="17" t="s">
        <v>33</v>
      </c>
      <c r="E192" s="22"/>
    </row>
    <row r="193" spans="1:6" s="9" customFormat="1" ht="17" x14ac:dyDescent="0.2">
      <c r="A193" s="18" t="s">
        <v>34</v>
      </c>
      <c r="B193" s="25" t="s">
        <v>35</v>
      </c>
      <c r="C193" s="18" t="s">
        <v>36</v>
      </c>
      <c r="D193" s="18" t="s">
        <v>37</v>
      </c>
      <c r="E193" s="22"/>
    </row>
    <row r="194" spans="1:6" s="9" customFormat="1" x14ac:dyDescent="0.2">
      <c r="A194" s="35"/>
      <c r="B194" s="35"/>
      <c r="C194" s="35"/>
      <c r="D194" s="35"/>
      <c r="E194" s="22"/>
    </row>
    <row r="195" spans="1:6" s="9" customFormat="1" x14ac:dyDescent="0.2">
      <c r="A195" s="26"/>
      <c r="B195" s="22"/>
      <c r="C195" s="23"/>
      <c r="D195" s="22"/>
      <c r="E195" s="22"/>
    </row>
    <row r="196" spans="1:6" s="9" customFormat="1" ht="16" customHeight="1" x14ac:dyDescent="0.2">
      <c r="A196" s="27" t="s">
        <v>38</v>
      </c>
      <c r="B196" s="27"/>
      <c r="C196" s="27"/>
      <c r="D196" s="27"/>
      <c r="E196" s="27"/>
      <c r="F196" s="27"/>
    </row>
    <row r="197" spans="1:6" s="9" customFormat="1" ht="17" x14ac:dyDescent="0.2">
      <c r="A197" s="28" t="s">
        <v>39</v>
      </c>
      <c r="B197" s="28"/>
      <c r="C197" s="28"/>
      <c r="D197" s="28"/>
      <c r="E197" s="28"/>
    </row>
    <row r="198" spans="1:6" s="9" customFormat="1" ht="17" outlineLevel="1" x14ac:dyDescent="0.2">
      <c r="A198" s="17" t="s">
        <v>40</v>
      </c>
      <c r="B198" s="17" t="s">
        <v>41</v>
      </c>
      <c r="C198" s="17" t="s">
        <v>42</v>
      </c>
      <c r="D198" s="17" t="s">
        <v>43</v>
      </c>
      <c r="E198" s="17" t="s">
        <v>44</v>
      </c>
    </row>
    <row r="199" spans="1:6" s="9" customFormat="1" ht="17" outlineLevel="1" x14ac:dyDescent="0.2">
      <c r="A199" s="40" t="s">
        <v>45</v>
      </c>
      <c r="B199" s="40" t="s">
        <v>46</v>
      </c>
      <c r="C199" s="40" t="s">
        <v>47</v>
      </c>
      <c r="D199" s="40" t="s">
        <v>48</v>
      </c>
      <c r="E199" s="40" t="s">
        <v>49</v>
      </c>
      <c r="F199" s="29" t="s">
        <v>50</v>
      </c>
    </row>
    <row r="200" spans="1:6" s="9" customFormat="1" outlineLevel="1" x14ac:dyDescent="0.2">
      <c r="A200" s="40"/>
      <c r="B200" s="40"/>
      <c r="C200" s="40"/>
      <c r="D200" s="41"/>
      <c r="E200" s="42"/>
      <c r="F200" s="30" t="str">
        <f>_xlfn.LET(
  _xlpm.ryhma, Table112[[#This Row],[Tavararyhmä]],
  _xlpm.kauttakulku, Table112[[#This Row],[Kauttakulku]],
  _xlpm.tyyppi, Table112[[#This Row],[Kuljetusyksikkötyyppi]],
  _xlpm.lkm, Table112[[#This Row],[Lukumäärä]],
  _xlpm.paino, Table112[[#This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01" spans="1:6" s="9" customFormat="1" outlineLevel="1" x14ac:dyDescent="0.2">
      <c r="A201" s="40"/>
      <c r="B201" s="40"/>
      <c r="C201" s="40"/>
      <c r="D201" s="41"/>
      <c r="E201" s="42"/>
      <c r="F201" s="30" t="str">
        <f>_xlfn.LET(
  _xlpm.ryhma, Table112[[#This Row],[Tavararyhmä]],
  _xlpm.kauttakulku, Table112[[#This Row],[Kauttakulku]],
  _xlpm.tyyppi, Table112[[#This Row],[Kuljetusyksikkötyyppi]],
  _xlpm.lkm, Table112[[#This Row],[Lukumäärä]],
  _xlpm.paino, Table112[[#This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02" spans="1:6" s="9" customFormat="1" outlineLevel="1" x14ac:dyDescent="0.2">
      <c r="A202" s="40"/>
      <c r="B202" s="40"/>
      <c r="C202" s="40"/>
      <c r="D202" s="41"/>
      <c r="E202" s="42"/>
      <c r="F202" s="30" t="str">
        <f>_xlfn.LET(
  _xlpm.ryhma, Table112[[#This Row],[Tavararyhmä]],
  _xlpm.kauttakulku, Table112[[#This Row],[Kauttakulku]],
  _xlpm.tyyppi, Table112[[#This Row],[Kuljetusyksikkötyyppi]],
  _xlpm.lkm, Table112[[#This Row],[Lukumäärä]],
  _xlpm.paino, Table112[[#This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03" spans="1:6" s="9" customFormat="1" outlineLevel="1" x14ac:dyDescent="0.2">
      <c r="A203" s="40"/>
      <c r="B203" s="40"/>
      <c r="C203" s="40"/>
      <c r="D203" s="41"/>
      <c r="E203" s="42"/>
      <c r="F203" s="30" t="str">
        <f>_xlfn.LET(
  _xlpm.ryhma, Table112[[#This Row],[Tavararyhmä]],
  _xlpm.kauttakulku, Table112[[#This Row],[Kauttakulku]],
  _xlpm.tyyppi, Table112[[#This Row],[Kuljetusyksikkötyyppi]],
  _xlpm.lkm, Table112[[#This Row],[Lukumäärä]],
  _xlpm.paino, Table112[[#This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04" spans="1:6" s="9" customFormat="1" outlineLevel="1" x14ac:dyDescent="0.2">
      <c r="A204" s="40"/>
      <c r="B204" s="40"/>
      <c r="C204" s="40"/>
      <c r="D204" s="41"/>
      <c r="E204" s="42"/>
      <c r="F204" s="30" t="str">
        <f>_xlfn.LET(
  _xlpm.ryhma, Table112[[#This Row],[Tavararyhmä]],
  _xlpm.kauttakulku, Table112[[#This Row],[Kauttakulku]],
  _xlpm.tyyppi, Table112[[#This Row],[Kuljetusyksikkötyyppi]],
  _xlpm.lkm, Table112[[#This Row],[Lukumäärä]],
  _xlpm.paino, Table112[[#This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05" spans="1:6" s="9" customFormat="1" ht="17" outlineLevel="1" x14ac:dyDescent="0.2">
      <c r="A205" s="40" t="s">
        <v>51</v>
      </c>
      <c r="B205" s="40">
        <f>COUNTIF(Table112[Kauttakulku],"Kyllä")</f>
        <v>0</v>
      </c>
      <c r="C205" s="40"/>
      <c r="D205" s="41">
        <f>SUBTOTAL(109,Table112[Lukumäärä])</f>
        <v>0</v>
      </c>
      <c r="E205" s="42">
        <f>SUBTOTAL(109,Table112[Bruttopaino])</f>
        <v>0</v>
      </c>
      <c r="F205" s="30"/>
    </row>
    <row r="206" spans="1:6" s="9" customFormat="1" ht="17" x14ac:dyDescent="0.2">
      <c r="A206" s="31" t="str">
        <f>" "</f>
        <v xml:space="preserve"> </v>
      </c>
      <c r="B206" s="31"/>
      <c r="C206" s="31"/>
      <c r="D206" s="32"/>
      <c r="E206" s="33"/>
      <c r="F206" s="34"/>
    </row>
    <row r="207" spans="1:6" s="9" customFormat="1" ht="17" x14ac:dyDescent="0.2">
      <c r="A207" s="28" t="s">
        <v>52</v>
      </c>
      <c r="B207" s="28"/>
      <c r="C207" s="28"/>
      <c r="D207" s="28"/>
      <c r="E207" s="28"/>
    </row>
    <row r="208" spans="1:6" s="9" customFormat="1" ht="17" outlineLevel="1" x14ac:dyDescent="0.2">
      <c r="A208" s="17" t="s">
        <v>53</v>
      </c>
      <c r="B208" s="17" t="s">
        <v>54</v>
      </c>
      <c r="C208" s="17" t="s">
        <v>55</v>
      </c>
      <c r="D208" s="17" t="s">
        <v>56</v>
      </c>
      <c r="E208" s="17" t="s">
        <v>57</v>
      </c>
    </row>
    <row r="209" spans="1:6" s="9" customFormat="1" ht="17" outlineLevel="1" x14ac:dyDescent="0.2">
      <c r="A209" s="40" t="s">
        <v>45</v>
      </c>
      <c r="B209" s="40" t="s">
        <v>46</v>
      </c>
      <c r="C209" s="40" t="s">
        <v>47</v>
      </c>
      <c r="D209" s="40" t="s">
        <v>48</v>
      </c>
      <c r="E209" s="40" t="s">
        <v>49</v>
      </c>
      <c r="F209" s="29" t="s">
        <v>50</v>
      </c>
    </row>
    <row r="210" spans="1:6" s="9" customFormat="1" outlineLevel="1" x14ac:dyDescent="0.2">
      <c r="A210" s="40"/>
      <c r="B210" s="40"/>
      <c r="C210" s="40"/>
      <c r="D210" s="41"/>
      <c r="E210" s="42"/>
      <c r="F210" s="30" t="str">
        <f>_xlfn.LET(
  _xlpm.ryhma, Table1713[[#This Row],[Tavararyhmä]],
  _xlpm.kauttakulku, Table1713[[#This Row],[Kauttakulku]],
  _xlpm.tyyppi, Table1713[[#This Row],[Kuljetusyksikkötyyppi]],
  _xlpm.lkm, Table1713[[#This Row],[Lukumäärä]],
  _xlpm.paino, Table1713[[#This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11" spans="1:6" s="9" customFormat="1" outlineLevel="1" x14ac:dyDescent="0.2">
      <c r="A211" s="40"/>
      <c r="B211" s="40"/>
      <c r="C211" s="40"/>
      <c r="D211" s="41"/>
      <c r="E211" s="42"/>
      <c r="F211" s="30" t="str">
        <f>_xlfn.LET(
  _xlpm.ryhma, Table1713[[#This Row],[Tavararyhmä]],
  _xlpm.kauttakulku, Table1713[[#This Row],[Kauttakulku]],
  _xlpm.tyyppi, Table1713[[#This Row],[Kuljetusyksikkötyyppi]],
  _xlpm.lkm, Table1713[[#This Row],[Lukumäärä]],
  _xlpm.paino, Table1713[[#This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12" spans="1:6" s="9" customFormat="1" outlineLevel="1" x14ac:dyDescent="0.2">
      <c r="A212" s="40"/>
      <c r="B212" s="40"/>
      <c r="C212" s="40"/>
      <c r="D212" s="41"/>
      <c r="E212" s="42"/>
      <c r="F212" s="30" t="str">
        <f>_xlfn.LET(
  _xlpm.ryhma, Table1713[[#This Row],[Tavararyhmä]],
  _xlpm.kauttakulku, Table1713[[#This Row],[Kauttakulku]],
  _xlpm.tyyppi, Table1713[[#This Row],[Kuljetusyksikkötyyppi]],
  _xlpm.lkm, Table1713[[#This Row],[Lukumäärä]],
  _xlpm.paino, Table1713[[#This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13" spans="1:6" s="9" customFormat="1" outlineLevel="1" x14ac:dyDescent="0.2">
      <c r="A213" s="40"/>
      <c r="B213" s="40"/>
      <c r="C213" s="40"/>
      <c r="D213" s="41"/>
      <c r="E213" s="42"/>
      <c r="F213" s="30" t="str">
        <f>_xlfn.LET(
  _xlpm.ryhma, Table1713[[#This Row],[Tavararyhmä]],
  _xlpm.kauttakulku, Table1713[[#This Row],[Kauttakulku]],
  _xlpm.tyyppi, Table1713[[#This Row],[Kuljetusyksikkötyyppi]],
  _xlpm.lkm, Table1713[[#This Row],[Lukumäärä]],
  _xlpm.paino, Table1713[[#This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14" spans="1:6" s="9" customFormat="1" outlineLevel="1" x14ac:dyDescent="0.2">
      <c r="A214" s="40"/>
      <c r="B214" s="40"/>
      <c r="C214" s="40"/>
      <c r="D214" s="41"/>
      <c r="E214" s="42"/>
      <c r="F214" s="30" t="str">
        <f>_xlfn.LET(
  _xlpm.ryhma, Table1713[[#This Row],[Tavararyhmä]],
  _xlpm.kauttakulku, Table1713[[#This Row],[Kauttakulku]],
  _xlpm.tyyppi, Table1713[[#This Row],[Kuljetusyksikkötyyppi]],
  _xlpm.lkm, Table1713[[#This Row],[Lukumäärä]],
  _xlpm.paino, Table1713[[#This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15" spans="1:6" s="9" customFormat="1" ht="17" outlineLevel="1" x14ac:dyDescent="0.2">
      <c r="A215" s="40" t="s">
        <v>51</v>
      </c>
      <c r="B215" s="40">
        <f>COUNTIF(Table1713[Kauttakulku],"Kyllä")</f>
        <v>0</v>
      </c>
      <c r="C215" s="40"/>
      <c r="D215" s="41">
        <f>SUBTOTAL(109,Table1713[Lukumäärä])</f>
        <v>0</v>
      </c>
      <c r="E215" s="42">
        <f>SUBTOTAL(109,Table1713[Bruttopaino])</f>
        <v>0</v>
      </c>
      <c r="F215" s="30"/>
    </row>
    <row r="216" spans="1:6" s="9" customFormat="1" x14ac:dyDescent="0.2">
      <c r="F216" s="30"/>
    </row>
    <row r="217" spans="1:6" s="9" customFormat="1" ht="16" customHeight="1" x14ac:dyDescent="0.2">
      <c r="A217" s="24" t="s">
        <v>15</v>
      </c>
      <c r="B217" s="24"/>
      <c r="C217" s="24"/>
      <c r="D217" s="24"/>
      <c r="E217" s="24"/>
      <c r="F217" s="24"/>
    </row>
    <row r="218" spans="1:6" s="9" customFormat="1" ht="17" x14ac:dyDescent="0.2">
      <c r="A218" s="17" t="s">
        <v>16</v>
      </c>
      <c r="B218" s="17" t="s">
        <v>17</v>
      </c>
      <c r="C218" s="17" t="s">
        <v>18</v>
      </c>
      <c r="E218" s="22"/>
    </row>
    <row r="219" spans="1:6" s="9" customFormat="1" ht="17" x14ac:dyDescent="0.2">
      <c r="A219" s="18" t="s">
        <v>19</v>
      </c>
      <c r="B219" s="18" t="s">
        <v>20</v>
      </c>
      <c r="C219" s="18" t="s">
        <v>21</v>
      </c>
      <c r="E219" s="19"/>
    </row>
    <row r="220" spans="1:6" s="9" customFormat="1" x14ac:dyDescent="0.2">
      <c r="A220" s="35"/>
      <c r="B220" s="37"/>
      <c r="C220" s="37"/>
      <c r="E220" s="22"/>
    </row>
    <row r="221" spans="1:6" s="9" customFormat="1" x14ac:dyDescent="0.2">
      <c r="A221" s="21"/>
      <c r="B221" s="21"/>
      <c r="C221" s="17"/>
      <c r="D221" s="21"/>
      <c r="E221" s="22"/>
    </row>
    <row r="222" spans="1:6" s="9" customFormat="1" ht="17" x14ac:dyDescent="0.2">
      <c r="A222" s="17" t="s">
        <v>22</v>
      </c>
      <c r="B222" s="17" t="s">
        <v>23</v>
      </c>
      <c r="C222" s="17" t="s">
        <v>24</v>
      </c>
      <c r="D222" s="17" t="s">
        <v>25</v>
      </c>
      <c r="E222" s="17" t="s">
        <v>129</v>
      </c>
    </row>
    <row r="223" spans="1:6" s="9" customFormat="1" ht="17" x14ac:dyDescent="0.2">
      <c r="A223" s="18" t="s">
        <v>26</v>
      </c>
      <c r="B223" s="18" t="s">
        <v>27</v>
      </c>
      <c r="C223" s="18" t="s">
        <v>28</v>
      </c>
      <c r="D223" s="18" t="s">
        <v>29</v>
      </c>
      <c r="E223" s="18" t="s">
        <v>128</v>
      </c>
    </row>
    <row r="224" spans="1:6" s="9" customFormat="1" x14ac:dyDescent="0.2">
      <c r="A224" s="35"/>
      <c r="B224" s="38"/>
      <c r="C224" s="39"/>
      <c r="D224" s="35"/>
      <c r="E224" s="38"/>
    </row>
    <row r="225" spans="1:6" s="9" customFormat="1" x14ac:dyDescent="0.2">
      <c r="A225" s="21"/>
      <c r="B225" s="21"/>
      <c r="C225" s="17"/>
      <c r="D225" s="21"/>
      <c r="E225" s="22"/>
    </row>
    <row r="226" spans="1:6" s="9" customFormat="1" ht="17" x14ac:dyDescent="0.2">
      <c r="A226" s="17" t="s">
        <v>30</v>
      </c>
      <c r="B226" s="17" t="s">
        <v>31</v>
      </c>
      <c r="C226" s="17" t="s">
        <v>32</v>
      </c>
      <c r="D226" s="17" t="s">
        <v>33</v>
      </c>
      <c r="E226" s="22"/>
    </row>
    <row r="227" spans="1:6" s="9" customFormat="1" ht="17" x14ac:dyDescent="0.2">
      <c r="A227" s="18" t="s">
        <v>34</v>
      </c>
      <c r="B227" s="25" t="s">
        <v>35</v>
      </c>
      <c r="C227" s="18" t="s">
        <v>36</v>
      </c>
      <c r="D227" s="18" t="s">
        <v>37</v>
      </c>
      <c r="E227" s="22"/>
    </row>
    <row r="228" spans="1:6" s="9" customFormat="1" x14ac:dyDescent="0.2">
      <c r="A228" s="35"/>
      <c r="B228" s="35"/>
      <c r="C228" s="35"/>
      <c r="D228" s="35"/>
      <c r="E228" s="22"/>
    </row>
    <row r="229" spans="1:6" s="9" customFormat="1" x14ac:dyDescent="0.2">
      <c r="A229" s="26"/>
      <c r="B229" s="22"/>
      <c r="C229" s="23"/>
      <c r="D229" s="22"/>
      <c r="E229" s="22"/>
    </row>
    <row r="230" spans="1:6" s="9" customFormat="1" ht="16" customHeight="1" x14ac:dyDescent="0.2">
      <c r="A230" s="27" t="s">
        <v>38</v>
      </c>
      <c r="B230" s="27"/>
      <c r="C230" s="27"/>
      <c r="D230" s="27"/>
      <c r="E230" s="27"/>
      <c r="F230" s="27"/>
    </row>
    <row r="231" spans="1:6" s="9" customFormat="1" ht="17" x14ac:dyDescent="0.2">
      <c r="A231" s="28" t="s">
        <v>39</v>
      </c>
      <c r="B231" s="28"/>
      <c r="C231" s="28"/>
      <c r="D231" s="28"/>
      <c r="E231" s="28"/>
    </row>
    <row r="232" spans="1:6" s="9" customFormat="1" ht="17" outlineLevel="1" x14ac:dyDescent="0.2">
      <c r="A232" s="17" t="s">
        <v>40</v>
      </c>
      <c r="B232" s="17" t="s">
        <v>41</v>
      </c>
      <c r="C232" s="17" t="s">
        <v>42</v>
      </c>
      <c r="D232" s="17" t="s">
        <v>43</v>
      </c>
      <c r="E232" s="17" t="s">
        <v>44</v>
      </c>
    </row>
    <row r="233" spans="1:6" s="9" customFormat="1" ht="17" outlineLevel="1" x14ac:dyDescent="0.2">
      <c r="A233" s="40" t="s">
        <v>45</v>
      </c>
      <c r="B233" s="40" t="s">
        <v>46</v>
      </c>
      <c r="C233" s="40" t="s">
        <v>47</v>
      </c>
      <c r="D233" s="40" t="s">
        <v>48</v>
      </c>
      <c r="E233" s="40" t="s">
        <v>49</v>
      </c>
      <c r="F233" s="29" t="s">
        <v>50</v>
      </c>
    </row>
    <row r="234" spans="1:6" s="9" customFormat="1" outlineLevel="1" x14ac:dyDescent="0.2">
      <c r="A234" s="40"/>
      <c r="B234" s="40"/>
      <c r="C234" s="40"/>
      <c r="D234" s="41"/>
      <c r="E234" s="42"/>
      <c r="F234" s="30" t="str">
        <f>_xlfn.LET(
  _xlpm.ryhma, Table114[[#This Row],[Tavararyhmä]],
  _xlpm.kauttakulku, Table114[[#This Row],[Kauttakulku]],
  _xlpm.tyyppi, Table114[[#This Row],[Kuljetusyksikkötyyppi]],
  _xlpm.lkm, Table114[[#This Row],[Lukumäärä]],
  _xlpm.paino, Table114[[#This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35" spans="1:6" s="9" customFormat="1" outlineLevel="1" x14ac:dyDescent="0.2">
      <c r="A235" s="40"/>
      <c r="B235" s="40"/>
      <c r="C235" s="40"/>
      <c r="D235" s="41"/>
      <c r="E235" s="42"/>
      <c r="F235" s="30" t="str">
        <f>_xlfn.LET(
  _xlpm.ryhma, Table114[[#This Row],[Tavararyhmä]],
  _xlpm.kauttakulku, Table114[[#This Row],[Kauttakulku]],
  _xlpm.tyyppi, Table114[[#This Row],[Kuljetusyksikkötyyppi]],
  _xlpm.lkm, Table114[[#This Row],[Lukumäärä]],
  _xlpm.paino, Table114[[#This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36" spans="1:6" s="9" customFormat="1" outlineLevel="1" x14ac:dyDescent="0.2">
      <c r="A236" s="40"/>
      <c r="B236" s="40"/>
      <c r="C236" s="40"/>
      <c r="D236" s="41"/>
      <c r="E236" s="42"/>
      <c r="F236" s="30" t="str">
        <f>_xlfn.LET(
  _xlpm.ryhma, Table114[[#This Row],[Tavararyhmä]],
  _xlpm.kauttakulku, Table114[[#This Row],[Kauttakulku]],
  _xlpm.tyyppi, Table114[[#This Row],[Kuljetusyksikkötyyppi]],
  _xlpm.lkm, Table114[[#This Row],[Lukumäärä]],
  _xlpm.paino, Table114[[#This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37" spans="1:6" s="9" customFormat="1" outlineLevel="1" x14ac:dyDescent="0.2">
      <c r="A237" s="40"/>
      <c r="B237" s="40"/>
      <c r="C237" s="40"/>
      <c r="D237" s="41"/>
      <c r="E237" s="42"/>
      <c r="F237" s="30" t="str">
        <f>_xlfn.LET(
  _xlpm.ryhma, Table114[[#This Row],[Tavararyhmä]],
  _xlpm.kauttakulku, Table114[[#This Row],[Kauttakulku]],
  _xlpm.tyyppi, Table114[[#This Row],[Kuljetusyksikkötyyppi]],
  _xlpm.lkm, Table114[[#This Row],[Lukumäärä]],
  _xlpm.paino, Table114[[#This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38" spans="1:6" s="9" customFormat="1" outlineLevel="1" x14ac:dyDescent="0.2">
      <c r="A238" s="40"/>
      <c r="B238" s="40"/>
      <c r="C238" s="40"/>
      <c r="D238" s="41"/>
      <c r="E238" s="42"/>
      <c r="F238" s="30" t="str">
        <f>_xlfn.LET(
  _xlpm.ryhma, Table114[[#This Row],[Tavararyhmä]],
  _xlpm.kauttakulku, Table114[[#This Row],[Kauttakulku]],
  _xlpm.tyyppi, Table114[[#This Row],[Kuljetusyksikkötyyppi]],
  _xlpm.lkm, Table114[[#This Row],[Lukumäärä]],
  _xlpm.paino, Table114[[#This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39" spans="1:6" s="9" customFormat="1" ht="17" outlineLevel="1" x14ac:dyDescent="0.2">
      <c r="A239" s="40" t="s">
        <v>51</v>
      </c>
      <c r="B239" s="40">
        <f>COUNTIF(Table114[Kauttakulku],"Kyllä")</f>
        <v>0</v>
      </c>
      <c r="C239" s="40"/>
      <c r="D239" s="41">
        <f>SUBTOTAL(109,Table114[Lukumäärä])</f>
        <v>0</v>
      </c>
      <c r="E239" s="42">
        <f>SUBTOTAL(109,Table114[Bruttopaino])</f>
        <v>0</v>
      </c>
      <c r="F239" s="30"/>
    </row>
    <row r="240" spans="1:6" s="9" customFormat="1" ht="17" x14ac:dyDescent="0.2">
      <c r="A240" s="31" t="str">
        <f>" "</f>
        <v xml:space="preserve"> </v>
      </c>
      <c r="B240" s="31"/>
      <c r="C240" s="31"/>
      <c r="D240" s="32"/>
      <c r="E240" s="33"/>
      <c r="F240" s="34"/>
    </row>
    <row r="241" spans="1:6" s="9" customFormat="1" ht="17" x14ac:dyDescent="0.2">
      <c r="A241" s="28" t="s">
        <v>52</v>
      </c>
      <c r="B241" s="28"/>
      <c r="C241" s="28"/>
      <c r="D241" s="28"/>
      <c r="E241" s="28"/>
    </row>
    <row r="242" spans="1:6" s="9" customFormat="1" ht="17" outlineLevel="1" x14ac:dyDescent="0.2">
      <c r="A242" s="17" t="s">
        <v>53</v>
      </c>
      <c r="B242" s="17" t="s">
        <v>54</v>
      </c>
      <c r="C242" s="17" t="s">
        <v>55</v>
      </c>
      <c r="D242" s="17" t="s">
        <v>56</v>
      </c>
      <c r="E242" s="17" t="s">
        <v>57</v>
      </c>
    </row>
    <row r="243" spans="1:6" s="9" customFormat="1" ht="17" outlineLevel="1" x14ac:dyDescent="0.2">
      <c r="A243" s="40" t="s">
        <v>45</v>
      </c>
      <c r="B243" s="40" t="s">
        <v>46</v>
      </c>
      <c r="C243" s="40" t="s">
        <v>47</v>
      </c>
      <c r="D243" s="40" t="s">
        <v>48</v>
      </c>
      <c r="E243" s="40" t="s">
        <v>49</v>
      </c>
      <c r="F243" s="29" t="s">
        <v>50</v>
      </c>
    </row>
    <row r="244" spans="1:6" s="9" customFormat="1" outlineLevel="1" x14ac:dyDescent="0.2">
      <c r="A244" s="40"/>
      <c r="B244" s="40"/>
      <c r="C244" s="40"/>
      <c r="D244" s="41"/>
      <c r="E244" s="42"/>
      <c r="F244" s="30" t="str">
        <f>_xlfn.LET(
  _xlpm.ryhma, Table1715[[#This Row],[Tavararyhmä]],
  _xlpm.kauttakulku, Table1715[[#This Row],[Kauttakulku]],
  _xlpm.tyyppi, Table1715[[#This Row],[Kuljetusyksikkötyyppi]],
  _xlpm.lkm, Table1715[[#This Row],[Lukumäärä]],
  _xlpm.paino, Table1715[[#This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45" spans="1:6" s="9" customFormat="1" outlineLevel="1" x14ac:dyDescent="0.2">
      <c r="A245" s="40"/>
      <c r="B245" s="40"/>
      <c r="C245" s="40"/>
      <c r="D245" s="41"/>
      <c r="E245" s="42"/>
      <c r="F245" s="30" t="str">
        <f>_xlfn.LET(
  _xlpm.ryhma, Table1715[[#This Row],[Tavararyhmä]],
  _xlpm.kauttakulku, Table1715[[#This Row],[Kauttakulku]],
  _xlpm.tyyppi, Table1715[[#This Row],[Kuljetusyksikkötyyppi]],
  _xlpm.lkm, Table1715[[#This Row],[Lukumäärä]],
  _xlpm.paino, Table1715[[#This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46" spans="1:6" s="9" customFormat="1" outlineLevel="1" x14ac:dyDescent="0.2">
      <c r="A246" s="40"/>
      <c r="B246" s="40"/>
      <c r="C246" s="40"/>
      <c r="D246" s="41"/>
      <c r="E246" s="42"/>
      <c r="F246" s="30" t="str">
        <f>_xlfn.LET(
  _xlpm.ryhma, Table1715[[#This Row],[Tavararyhmä]],
  _xlpm.kauttakulku, Table1715[[#This Row],[Kauttakulku]],
  _xlpm.tyyppi, Table1715[[#This Row],[Kuljetusyksikkötyyppi]],
  _xlpm.lkm, Table1715[[#This Row],[Lukumäärä]],
  _xlpm.paino, Table1715[[#This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47" spans="1:6" s="9" customFormat="1" outlineLevel="1" x14ac:dyDescent="0.2">
      <c r="A247" s="40"/>
      <c r="B247" s="40"/>
      <c r="C247" s="40"/>
      <c r="D247" s="41"/>
      <c r="E247" s="42"/>
      <c r="F247" s="30" t="str">
        <f>_xlfn.LET(
  _xlpm.ryhma, Table1715[[#This Row],[Tavararyhmä]],
  _xlpm.kauttakulku, Table1715[[#This Row],[Kauttakulku]],
  _xlpm.tyyppi, Table1715[[#This Row],[Kuljetusyksikkötyyppi]],
  _xlpm.lkm, Table1715[[#This Row],[Lukumäärä]],
  _xlpm.paino, Table1715[[#This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48" spans="1:6" s="9" customFormat="1" outlineLevel="1" x14ac:dyDescent="0.2">
      <c r="A248" s="40"/>
      <c r="B248" s="40"/>
      <c r="C248" s="40"/>
      <c r="D248" s="41"/>
      <c r="E248" s="42"/>
      <c r="F248" s="30" t="str">
        <f>_xlfn.LET(
  _xlpm.ryhma, Table1715[[#This Row],[Tavararyhmä]],
  _xlpm.kauttakulku, Table1715[[#This Row],[Kauttakulku]],
  _xlpm.tyyppi, Table1715[[#This Row],[Kuljetusyksikkötyyppi]],
  _xlpm.lkm, Table1715[[#This Row],[Lukumäärä]],
  _xlpm.paino, Table1715[[#This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49" spans="1:6" s="9" customFormat="1" ht="17" outlineLevel="1" x14ac:dyDescent="0.2">
      <c r="A249" s="40" t="s">
        <v>51</v>
      </c>
      <c r="B249" s="40">
        <f>COUNTIF(Table1715[Kauttakulku],"Kyllä")</f>
        <v>0</v>
      </c>
      <c r="C249" s="40"/>
      <c r="D249" s="41">
        <f>SUBTOTAL(109,Table1715[Lukumäärä])</f>
        <v>0</v>
      </c>
      <c r="E249" s="42">
        <f>SUBTOTAL(109,Table1715[Bruttopaino])</f>
        <v>0</v>
      </c>
      <c r="F249" s="30"/>
    </row>
    <row r="250" spans="1:6" s="9" customFormat="1" x14ac:dyDescent="0.2">
      <c r="F250" s="30"/>
    </row>
    <row r="251" spans="1:6" s="9" customFormat="1" ht="16" customHeight="1" x14ac:dyDescent="0.2">
      <c r="A251" s="24" t="s">
        <v>15</v>
      </c>
      <c r="B251" s="24"/>
      <c r="C251" s="24"/>
      <c r="D251" s="24"/>
      <c r="E251" s="24"/>
      <c r="F251" s="24"/>
    </row>
    <row r="252" spans="1:6" s="9" customFormat="1" ht="17" x14ac:dyDescent="0.2">
      <c r="A252" s="17" t="s">
        <v>16</v>
      </c>
      <c r="B252" s="17" t="s">
        <v>17</v>
      </c>
      <c r="C252" s="17" t="s">
        <v>18</v>
      </c>
      <c r="E252" s="22"/>
    </row>
    <row r="253" spans="1:6" s="9" customFormat="1" ht="17" x14ac:dyDescent="0.2">
      <c r="A253" s="18" t="s">
        <v>19</v>
      </c>
      <c r="B253" s="18" t="s">
        <v>20</v>
      </c>
      <c r="C253" s="18" t="s">
        <v>21</v>
      </c>
      <c r="E253" s="19"/>
    </row>
    <row r="254" spans="1:6" s="9" customFormat="1" x14ac:dyDescent="0.2">
      <c r="A254" s="35"/>
      <c r="B254" s="37"/>
      <c r="C254" s="37"/>
      <c r="E254" s="22"/>
    </row>
    <row r="255" spans="1:6" s="9" customFormat="1" x14ac:dyDescent="0.2">
      <c r="A255" s="21"/>
      <c r="B255" s="21"/>
      <c r="C255" s="17"/>
      <c r="D255" s="21"/>
      <c r="E255" s="22"/>
    </row>
    <row r="256" spans="1:6" s="9" customFormat="1" ht="17" x14ac:dyDescent="0.2">
      <c r="A256" s="17" t="s">
        <v>22</v>
      </c>
      <c r="B256" s="17" t="s">
        <v>23</v>
      </c>
      <c r="C256" s="17" t="s">
        <v>24</v>
      </c>
      <c r="D256" s="17" t="s">
        <v>25</v>
      </c>
      <c r="E256" s="17" t="s">
        <v>129</v>
      </c>
    </row>
    <row r="257" spans="1:6" s="9" customFormat="1" ht="17" x14ac:dyDescent="0.2">
      <c r="A257" s="18" t="s">
        <v>26</v>
      </c>
      <c r="B257" s="18" t="s">
        <v>27</v>
      </c>
      <c r="C257" s="18" t="s">
        <v>28</v>
      </c>
      <c r="D257" s="18" t="s">
        <v>29</v>
      </c>
      <c r="E257" s="18" t="s">
        <v>128</v>
      </c>
    </row>
    <row r="258" spans="1:6" s="9" customFormat="1" x14ac:dyDescent="0.2">
      <c r="A258" s="35"/>
      <c r="B258" s="38"/>
      <c r="C258" s="39"/>
      <c r="D258" s="35"/>
      <c r="E258" s="38"/>
    </row>
    <row r="259" spans="1:6" s="9" customFormat="1" x14ac:dyDescent="0.2">
      <c r="A259" s="21"/>
      <c r="B259" s="21"/>
      <c r="C259" s="17"/>
      <c r="D259" s="21"/>
      <c r="E259" s="22"/>
    </row>
    <row r="260" spans="1:6" s="9" customFormat="1" ht="17" x14ac:dyDescent="0.2">
      <c r="A260" s="17" t="s">
        <v>30</v>
      </c>
      <c r="B260" s="17" t="s">
        <v>31</v>
      </c>
      <c r="C260" s="17" t="s">
        <v>32</v>
      </c>
      <c r="D260" s="17" t="s">
        <v>33</v>
      </c>
      <c r="E260" s="22"/>
    </row>
    <row r="261" spans="1:6" s="9" customFormat="1" ht="17" x14ac:dyDescent="0.2">
      <c r="A261" s="18" t="s">
        <v>34</v>
      </c>
      <c r="B261" s="25" t="s">
        <v>35</v>
      </c>
      <c r="C261" s="18" t="s">
        <v>36</v>
      </c>
      <c r="D261" s="18" t="s">
        <v>37</v>
      </c>
      <c r="E261" s="22"/>
    </row>
    <row r="262" spans="1:6" s="9" customFormat="1" x14ac:dyDescent="0.2">
      <c r="A262" s="35"/>
      <c r="B262" s="35"/>
      <c r="C262" s="35"/>
      <c r="D262" s="35"/>
      <c r="E262" s="22"/>
    </row>
    <row r="263" spans="1:6" s="9" customFormat="1" x14ac:dyDescent="0.2">
      <c r="A263" s="26"/>
      <c r="B263" s="22"/>
      <c r="C263" s="23"/>
      <c r="D263" s="22"/>
      <c r="E263" s="22"/>
    </row>
    <row r="264" spans="1:6" s="9" customFormat="1" ht="16" customHeight="1" x14ac:dyDescent="0.2">
      <c r="A264" s="27" t="s">
        <v>38</v>
      </c>
      <c r="B264" s="27"/>
      <c r="C264" s="27"/>
      <c r="D264" s="27"/>
      <c r="E264" s="27"/>
      <c r="F264" s="27"/>
    </row>
    <row r="265" spans="1:6" s="9" customFormat="1" ht="17" x14ac:dyDescent="0.2">
      <c r="A265" s="28" t="s">
        <v>39</v>
      </c>
      <c r="B265" s="28"/>
      <c r="C265" s="28"/>
      <c r="D265" s="28"/>
      <c r="E265" s="28"/>
    </row>
    <row r="266" spans="1:6" s="9" customFormat="1" ht="17" outlineLevel="1" x14ac:dyDescent="0.2">
      <c r="A266" s="17" t="s">
        <v>40</v>
      </c>
      <c r="B266" s="17" t="s">
        <v>41</v>
      </c>
      <c r="C266" s="17" t="s">
        <v>42</v>
      </c>
      <c r="D266" s="17" t="s">
        <v>43</v>
      </c>
      <c r="E266" s="17" t="s">
        <v>44</v>
      </c>
    </row>
    <row r="267" spans="1:6" s="9" customFormat="1" ht="17" outlineLevel="1" x14ac:dyDescent="0.2">
      <c r="A267" s="40" t="s">
        <v>45</v>
      </c>
      <c r="B267" s="40" t="s">
        <v>46</v>
      </c>
      <c r="C267" s="40" t="s">
        <v>47</v>
      </c>
      <c r="D267" s="40" t="s">
        <v>48</v>
      </c>
      <c r="E267" s="40" t="s">
        <v>49</v>
      </c>
      <c r="F267" s="29" t="s">
        <v>50</v>
      </c>
    </row>
    <row r="268" spans="1:6" s="9" customFormat="1" outlineLevel="1" x14ac:dyDescent="0.2">
      <c r="A268" s="40"/>
      <c r="B268" s="40"/>
      <c r="C268" s="40"/>
      <c r="D268" s="41"/>
      <c r="E268" s="42"/>
      <c r="F268" s="30" t="str">
        <f>_xlfn.LET(
  _xlpm.ryhma, Table116[[#This Row],[Tavararyhmä]],
  _xlpm.kauttakulku, Table116[[#This Row],[Kauttakulku]],
  _xlpm.tyyppi, Table116[[#This Row],[Kuljetusyksikkötyyppi]],
  _xlpm.lkm, Table116[[#This Row],[Lukumäärä]],
  _xlpm.paino, Table116[[#This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69" spans="1:6" s="9" customFormat="1" outlineLevel="1" x14ac:dyDescent="0.2">
      <c r="A269" s="40"/>
      <c r="B269" s="40"/>
      <c r="C269" s="40"/>
      <c r="D269" s="41"/>
      <c r="E269" s="42"/>
      <c r="F269" s="30" t="str">
        <f>_xlfn.LET(
  _xlpm.ryhma, Table116[[#This Row],[Tavararyhmä]],
  _xlpm.kauttakulku, Table116[[#This Row],[Kauttakulku]],
  _xlpm.tyyppi, Table116[[#This Row],[Kuljetusyksikkötyyppi]],
  _xlpm.lkm, Table116[[#This Row],[Lukumäärä]],
  _xlpm.paino, Table116[[#This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70" spans="1:6" s="9" customFormat="1" outlineLevel="1" x14ac:dyDescent="0.2">
      <c r="A270" s="40"/>
      <c r="B270" s="40"/>
      <c r="C270" s="40"/>
      <c r="D270" s="41"/>
      <c r="E270" s="42"/>
      <c r="F270" s="30" t="str">
        <f>_xlfn.LET(
  _xlpm.ryhma, Table116[[#This Row],[Tavararyhmä]],
  _xlpm.kauttakulku, Table116[[#This Row],[Kauttakulku]],
  _xlpm.tyyppi, Table116[[#This Row],[Kuljetusyksikkötyyppi]],
  _xlpm.lkm, Table116[[#This Row],[Lukumäärä]],
  _xlpm.paino, Table116[[#This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71" spans="1:6" s="9" customFormat="1" outlineLevel="1" x14ac:dyDescent="0.2">
      <c r="A271" s="40"/>
      <c r="B271" s="40"/>
      <c r="C271" s="40"/>
      <c r="D271" s="41"/>
      <c r="E271" s="42"/>
      <c r="F271" s="30" t="str">
        <f>_xlfn.LET(
  _xlpm.ryhma, Table116[[#This Row],[Tavararyhmä]],
  _xlpm.kauttakulku, Table116[[#This Row],[Kauttakulku]],
  _xlpm.tyyppi, Table116[[#This Row],[Kuljetusyksikkötyyppi]],
  _xlpm.lkm, Table116[[#This Row],[Lukumäärä]],
  _xlpm.paino, Table116[[#This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72" spans="1:6" s="9" customFormat="1" outlineLevel="1" x14ac:dyDescent="0.2">
      <c r="A272" s="40"/>
      <c r="B272" s="40"/>
      <c r="C272" s="40"/>
      <c r="D272" s="41"/>
      <c r="E272" s="42"/>
      <c r="F272" s="30" t="str">
        <f>_xlfn.LET(
  _xlpm.ryhma, Table116[[#This Row],[Tavararyhmä]],
  _xlpm.kauttakulku, Table116[[#This Row],[Kauttakulku]],
  _xlpm.tyyppi, Table116[[#This Row],[Kuljetusyksikkötyyppi]],
  _xlpm.lkm, Table116[[#This Row],[Lukumäärä]],
  _xlpm.paino, Table116[[#This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73" spans="1:6" s="9" customFormat="1" ht="17" outlineLevel="1" x14ac:dyDescent="0.2">
      <c r="A273" s="40" t="s">
        <v>51</v>
      </c>
      <c r="B273" s="40">
        <f>COUNTIF(Table116[Kauttakulku],"Kyllä")</f>
        <v>0</v>
      </c>
      <c r="C273" s="40"/>
      <c r="D273" s="41">
        <f>SUBTOTAL(109,Table116[Lukumäärä])</f>
        <v>0</v>
      </c>
      <c r="E273" s="42">
        <f>SUBTOTAL(109,Table116[Bruttopaino])</f>
        <v>0</v>
      </c>
      <c r="F273" s="30"/>
    </row>
    <row r="274" spans="1:6" s="9" customFormat="1" ht="17" x14ac:dyDescent="0.2">
      <c r="A274" s="31" t="str">
        <f>" "</f>
        <v xml:space="preserve"> </v>
      </c>
      <c r="B274" s="31"/>
      <c r="C274" s="31"/>
      <c r="D274" s="32"/>
      <c r="E274" s="33"/>
      <c r="F274" s="34"/>
    </row>
    <row r="275" spans="1:6" s="9" customFormat="1" ht="17" x14ac:dyDescent="0.2">
      <c r="A275" s="28" t="s">
        <v>52</v>
      </c>
      <c r="B275" s="28"/>
      <c r="C275" s="28"/>
      <c r="D275" s="28"/>
      <c r="E275" s="28"/>
    </row>
    <row r="276" spans="1:6" s="9" customFormat="1" ht="17" outlineLevel="1" x14ac:dyDescent="0.2">
      <c r="A276" s="17" t="s">
        <v>53</v>
      </c>
      <c r="B276" s="17" t="s">
        <v>54</v>
      </c>
      <c r="C276" s="17" t="s">
        <v>55</v>
      </c>
      <c r="D276" s="17" t="s">
        <v>56</v>
      </c>
      <c r="E276" s="17" t="s">
        <v>57</v>
      </c>
    </row>
    <row r="277" spans="1:6" s="9" customFormat="1" ht="17" outlineLevel="1" x14ac:dyDescent="0.2">
      <c r="A277" s="40" t="s">
        <v>45</v>
      </c>
      <c r="B277" s="40" t="s">
        <v>46</v>
      </c>
      <c r="C277" s="40" t="s">
        <v>47</v>
      </c>
      <c r="D277" s="40" t="s">
        <v>48</v>
      </c>
      <c r="E277" s="40" t="s">
        <v>49</v>
      </c>
      <c r="F277" s="29" t="s">
        <v>50</v>
      </c>
    </row>
    <row r="278" spans="1:6" s="9" customFormat="1" outlineLevel="1" x14ac:dyDescent="0.2">
      <c r="A278" s="40"/>
      <c r="B278" s="40"/>
      <c r="C278" s="40"/>
      <c r="D278" s="41"/>
      <c r="E278" s="42"/>
      <c r="F278" s="30" t="str">
        <f>_xlfn.LET(
  _xlpm.ryhma, Table1717[[#This Row],[Tavararyhmä]],
  _xlpm.kauttakulku, Table1717[[#This Row],[Kauttakulku]],
  _xlpm.tyyppi, Table1717[[#This Row],[Kuljetusyksikkötyyppi]],
  _xlpm.lkm, Table1717[[#This Row],[Lukumäärä]],
  _xlpm.paino, Table1717[[#This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79" spans="1:6" s="9" customFormat="1" outlineLevel="1" x14ac:dyDescent="0.2">
      <c r="A279" s="40"/>
      <c r="B279" s="40"/>
      <c r="C279" s="40"/>
      <c r="D279" s="41"/>
      <c r="E279" s="42"/>
      <c r="F279" s="30" t="str">
        <f>_xlfn.LET(
  _xlpm.ryhma, Table1717[[#This Row],[Tavararyhmä]],
  _xlpm.kauttakulku, Table1717[[#This Row],[Kauttakulku]],
  _xlpm.tyyppi, Table1717[[#This Row],[Kuljetusyksikkötyyppi]],
  _xlpm.lkm, Table1717[[#This Row],[Lukumäärä]],
  _xlpm.paino, Table1717[[#This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80" spans="1:6" s="9" customFormat="1" outlineLevel="1" x14ac:dyDescent="0.2">
      <c r="A280" s="40"/>
      <c r="B280" s="40"/>
      <c r="C280" s="40"/>
      <c r="D280" s="41"/>
      <c r="E280" s="42"/>
      <c r="F280" s="30" t="str">
        <f>_xlfn.LET(
  _xlpm.ryhma, Table1717[[#This Row],[Tavararyhmä]],
  _xlpm.kauttakulku, Table1717[[#This Row],[Kauttakulku]],
  _xlpm.tyyppi, Table1717[[#This Row],[Kuljetusyksikkötyyppi]],
  _xlpm.lkm, Table1717[[#This Row],[Lukumäärä]],
  _xlpm.paino, Table1717[[#This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81" spans="1:6" s="9" customFormat="1" outlineLevel="1" x14ac:dyDescent="0.2">
      <c r="A281" s="40"/>
      <c r="B281" s="40"/>
      <c r="C281" s="40"/>
      <c r="D281" s="41"/>
      <c r="E281" s="42"/>
      <c r="F281" s="30" t="str">
        <f>_xlfn.LET(
  _xlpm.ryhma, Table1717[[#This Row],[Tavararyhmä]],
  _xlpm.kauttakulku, Table1717[[#This Row],[Kauttakulku]],
  _xlpm.tyyppi, Table1717[[#This Row],[Kuljetusyksikkötyyppi]],
  _xlpm.lkm, Table1717[[#This Row],[Lukumäärä]],
  _xlpm.paino, Table1717[[#This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82" spans="1:6" s="9" customFormat="1" outlineLevel="1" x14ac:dyDescent="0.2">
      <c r="A282" s="40"/>
      <c r="B282" s="40"/>
      <c r="C282" s="40"/>
      <c r="D282" s="41"/>
      <c r="E282" s="42"/>
      <c r="F282" s="30" t="str">
        <f>_xlfn.LET(
  _xlpm.ryhma, Table1717[[#This Row],[Tavararyhmä]],
  _xlpm.kauttakulku, Table1717[[#This Row],[Kauttakulku]],
  _xlpm.tyyppi, Table1717[[#This Row],[Kuljetusyksikkötyyppi]],
  _xlpm.lkm, Table1717[[#This Row],[Lukumäärä]],
  _xlpm.paino, Table1717[[#This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283" spans="1:6" s="9" customFormat="1" ht="17" outlineLevel="1" x14ac:dyDescent="0.2">
      <c r="A283" s="40" t="s">
        <v>51</v>
      </c>
      <c r="B283" s="40">
        <f>COUNTIF(Table1717[Kauttakulku],"Kyllä")</f>
        <v>0</v>
      </c>
      <c r="C283" s="40"/>
      <c r="D283" s="41">
        <f>SUBTOTAL(109,Table1717[Lukumäärä])</f>
        <v>0</v>
      </c>
      <c r="E283" s="42">
        <f>SUBTOTAL(109,Table1717[Bruttopaino])</f>
        <v>0</v>
      </c>
      <c r="F283" s="30"/>
    </row>
    <row r="284" spans="1:6" s="9" customFormat="1" x14ac:dyDescent="0.2">
      <c r="F284" s="30"/>
    </row>
    <row r="285" spans="1:6" s="9" customFormat="1" ht="16" customHeight="1" x14ac:dyDescent="0.2">
      <c r="A285" s="24" t="s">
        <v>15</v>
      </c>
      <c r="B285" s="24"/>
      <c r="C285" s="24"/>
      <c r="D285" s="24"/>
      <c r="E285" s="24"/>
      <c r="F285" s="24"/>
    </row>
    <row r="286" spans="1:6" s="9" customFormat="1" ht="17" x14ac:dyDescent="0.2">
      <c r="A286" s="17" t="s">
        <v>16</v>
      </c>
      <c r="B286" s="17" t="s">
        <v>17</v>
      </c>
      <c r="C286" s="17" t="s">
        <v>18</v>
      </c>
      <c r="E286" s="22"/>
    </row>
    <row r="287" spans="1:6" s="9" customFormat="1" ht="17" x14ac:dyDescent="0.2">
      <c r="A287" s="18" t="s">
        <v>19</v>
      </c>
      <c r="B287" s="18" t="s">
        <v>20</v>
      </c>
      <c r="C287" s="18" t="s">
        <v>21</v>
      </c>
      <c r="E287" s="19"/>
    </row>
    <row r="288" spans="1:6" s="9" customFormat="1" x14ac:dyDescent="0.2">
      <c r="A288" s="35"/>
      <c r="B288" s="37"/>
      <c r="C288" s="37"/>
      <c r="E288" s="22"/>
    </row>
    <row r="289" spans="1:6" s="9" customFormat="1" x14ac:dyDescent="0.2">
      <c r="A289" s="21"/>
      <c r="B289" s="21"/>
      <c r="C289" s="17"/>
      <c r="D289" s="21"/>
      <c r="E289" s="22"/>
    </row>
    <row r="290" spans="1:6" s="9" customFormat="1" ht="17" x14ac:dyDescent="0.2">
      <c r="A290" s="17" t="s">
        <v>22</v>
      </c>
      <c r="B290" s="17" t="s">
        <v>23</v>
      </c>
      <c r="C290" s="17" t="s">
        <v>24</v>
      </c>
      <c r="D290" s="17" t="s">
        <v>25</v>
      </c>
      <c r="E290" s="17" t="s">
        <v>129</v>
      </c>
    </row>
    <row r="291" spans="1:6" s="9" customFormat="1" ht="17" x14ac:dyDescent="0.2">
      <c r="A291" s="18" t="s">
        <v>26</v>
      </c>
      <c r="B291" s="18" t="s">
        <v>27</v>
      </c>
      <c r="C291" s="18" t="s">
        <v>28</v>
      </c>
      <c r="D291" s="18" t="s">
        <v>29</v>
      </c>
      <c r="E291" s="18" t="s">
        <v>128</v>
      </c>
    </row>
    <row r="292" spans="1:6" s="9" customFormat="1" x14ac:dyDescent="0.2">
      <c r="A292" s="35"/>
      <c r="B292" s="38"/>
      <c r="C292" s="39"/>
      <c r="D292" s="35"/>
      <c r="E292" s="38"/>
    </row>
    <row r="293" spans="1:6" s="9" customFormat="1" x14ac:dyDescent="0.2">
      <c r="A293" s="21"/>
      <c r="B293" s="21"/>
      <c r="C293" s="17"/>
      <c r="D293" s="21"/>
      <c r="E293" s="22"/>
    </row>
    <row r="294" spans="1:6" s="9" customFormat="1" ht="17" x14ac:dyDescent="0.2">
      <c r="A294" s="17" t="s">
        <v>30</v>
      </c>
      <c r="B294" s="17" t="s">
        <v>31</v>
      </c>
      <c r="C294" s="17" t="s">
        <v>32</v>
      </c>
      <c r="D294" s="17" t="s">
        <v>33</v>
      </c>
      <c r="E294" s="22"/>
    </row>
    <row r="295" spans="1:6" s="9" customFormat="1" ht="17" x14ac:dyDescent="0.2">
      <c r="A295" s="18" t="s">
        <v>34</v>
      </c>
      <c r="B295" s="25" t="s">
        <v>35</v>
      </c>
      <c r="C295" s="18" t="s">
        <v>36</v>
      </c>
      <c r="D295" s="18" t="s">
        <v>37</v>
      </c>
      <c r="E295" s="22"/>
    </row>
    <row r="296" spans="1:6" s="9" customFormat="1" x14ac:dyDescent="0.2">
      <c r="A296" s="35"/>
      <c r="B296" s="35"/>
      <c r="C296" s="35"/>
      <c r="D296" s="35"/>
      <c r="E296" s="22"/>
    </row>
    <row r="297" spans="1:6" s="9" customFormat="1" x14ac:dyDescent="0.2">
      <c r="A297" s="26"/>
      <c r="B297" s="22"/>
      <c r="C297" s="23"/>
      <c r="D297" s="22"/>
      <c r="E297" s="22"/>
    </row>
    <row r="298" spans="1:6" s="9" customFormat="1" ht="16" customHeight="1" x14ac:dyDescent="0.2">
      <c r="A298" s="27" t="s">
        <v>38</v>
      </c>
      <c r="B298" s="27"/>
      <c r="C298" s="27"/>
      <c r="D298" s="27"/>
      <c r="E298" s="27"/>
      <c r="F298" s="27"/>
    </row>
    <row r="299" spans="1:6" s="9" customFormat="1" ht="17" x14ac:dyDescent="0.2">
      <c r="A299" s="28" t="s">
        <v>39</v>
      </c>
      <c r="B299" s="28"/>
      <c r="C299" s="28"/>
      <c r="D299" s="28"/>
      <c r="E299" s="28"/>
    </row>
    <row r="300" spans="1:6" s="9" customFormat="1" ht="17" outlineLevel="1" x14ac:dyDescent="0.2">
      <c r="A300" s="17" t="s">
        <v>40</v>
      </c>
      <c r="B300" s="17" t="s">
        <v>41</v>
      </c>
      <c r="C300" s="17" t="s">
        <v>42</v>
      </c>
      <c r="D300" s="17" t="s">
        <v>43</v>
      </c>
      <c r="E300" s="17" t="s">
        <v>44</v>
      </c>
    </row>
    <row r="301" spans="1:6" s="9" customFormat="1" ht="17" outlineLevel="1" x14ac:dyDescent="0.2">
      <c r="A301" s="40" t="s">
        <v>45</v>
      </c>
      <c r="B301" s="40" t="s">
        <v>46</v>
      </c>
      <c r="C301" s="40" t="s">
        <v>47</v>
      </c>
      <c r="D301" s="40" t="s">
        <v>48</v>
      </c>
      <c r="E301" s="40" t="s">
        <v>49</v>
      </c>
      <c r="F301" s="29" t="s">
        <v>50</v>
      </c>
    </row>
    <row r="302" spans="1:6" s="9" customFormat="1" outlineLevel="1" x14ac:dyDescent="0.2">
      <c r="A302" s="40"/>
      <c r="B302" s="40"/>
      <c r="C302" s="40"/>
      <c r="D302" s="41"/>
      <c r="E302" s="42"/>
      <c r="F302" s="30" t="str">
        <f>_xlfn.LET(
  _xlpm.ryhma, Table118[[#This Row],[Tavararyhmä]],
  _xlpm.kauttakulku, Table118[[#This Row],[Kauttakulku]],
  _xlpm.tyyppi, Table118[[#This Row],[Kuljetusyksikkötyyppi]],
  _xlpm.lkm, Table118[[#This Row],[Lukumäärä]],
  _xlpm.paino, Table118[[#This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03" spans="1:6" s="9" customFormat="1" outlineLevel="1" x14ac:dyDescent="0.2">
      <c r="A303" s="40"/>
      <c r="B303" s="40"/>
      <c r="C303" s="40"/>
      <c r="D303" s="41"/>
      <c r="E303" s="42"/>
      <c r="F303" s="30" t="str">
        <f>_xlfn.LET(
  _xlpm.ryhma, Table118[[#This Row],[Tavararyhmä]],
  _xlpm.kauttakulku, Table118[[#This Row],[Kauttakulku]],
  _xlpm.tyyppi, Table118[[#This Row],[Kuljetusyksikkötyyppi]],
  _xlpm.lkm, Table118[[#This Row],[Lukumäärä]],
  _xlpm.paino, Table118[[#This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04" spans="1:6" s="9" customFormat="1" outlineLevel="1" x14ac:dyDescent="0.2">
      <c r="A304" s="40"/>
      <c r="B304" s="40"/>
      <c r="C304" s="40"/>
      <c r="D304" s="41"/>
      <c r="E304" s="42"/>
      <c r="F304" s="30" t="str">
        <f>_xlfn.LET(
  _xlpm.ryhma, Table118[[#This Row],[Tavararyhmä]],
  _xlpm.kauttakulku, Table118[[#This Row],[Kauttakulku]],
  _xlpm.tyyppi, Table118[[#This Row],[Kuljetusyksikkötyyppi]],
  _xlpm.lkm, Table118[[#This Row],[Lukumäärä]],
  _xlpm.paino, Table118[[#This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05" spans="1:6" s="9" customFormat="1" outlineLevel="1" x14ac:dyDescent="0.2">
      <c r="A305" s="40"/>
      <c r="B305" s="40"/>
      <c r="C305" s="40"/>
      <c r="D305" s="41"/>
      <c r="E305" s="42"/>
      <c r="F305" s="30" t="str">
        <f>_xlfn.LET(
  _xlpm.ryhma, Table118[[#This Row],[Tavararyhmä]],
  _xlpm.kauttakulku, Table118[[#This Row],[Kauttakulku]],
  _xlpm.tyyppi, Table118[[#This Row],[Kuljetusyksikkötyyppi]],
  _xlpm.lkm, Table118[[#This Row],[Lukumäärä]],
  _xlpm.paino, Table118[[#This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06" spans="1:6" s="9" customFormat="1" outlineLevel="1" x14ac:dyDescent="0.2">
      <c r="A306" s="40"/>
      <c r="B306" s="40"/>
      <c r="C306" s="40"/>
      <c r="D306" s="41"/>
      <c r="E306" s="42"/>
      <c r="F306" s="30" t="str">
        <f>_xlfn.LET(
  _xlpm.ryhma, Table118[[#This Row],[Tavararyhmä]],
  _xlpm.kauttakulku, Table118[[#This Row],[Kauttakulku]],
  _xlpm.tyyppi, Table118[[#This Row],[Kuljetusyksikkötyyppi]],
  _xlpm.lkm, Table118[[#This Row],[Lukumäärä]],
  _xlpm.paino, Table118[[#This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07" spans="1:6" s="9" customFormat="1" ht="17" outlineLevel="1" x14ac:dyDescent="0.2">
      <c r="A307" s="40" t="s">
        <v>51</v>
      </c>
      <c r="B307" s="40">
        <f>COUNTIF(Table118[Kauttakulku],"Kyllä")</f>
        <v>0</v>
      </c>
      <c r="C307" s="40"/>
      <c r="D307" s="41">
        <f>SUBTOTAL(109,Table118[Lukumäärä])</f>
        <v>0</v>
      </c>
      <c r="E307" s="42">
        <f>SUBTOTAL(109,Table118[Bruttopaino])</f>
        <v>0</v>
      </c>
      <c r="F307" s="30"/>
    </row>
    <row r="308" spans="1:6" s="9" customFormat="1" ht="17" x14ac:dyDescent="0.2">
      <c r="A308" s="31" t="str">
        <f>" "</f>
        <v xml:space="preserve"> </v>
      </c>
      <c r="B308" s="31"/>
      <c r="C308" s="31"/>
      <c r="D308" s="32"/>
      <c r="E308" s="33"/>
      <c r="F308" s="34"/>
    </row>
    <row r="309" spans="1:6" s="9" customFormat="1" ht="17" x14ac:dyDescent="0.2">
      <c r="A309" s="28" t="s">
        <v>52</v>
      </c>
      <c r="B309" s="28"/>
      <c r="C309" s="28"/>
      <c r="D309" s="28"/>
      <c r="E309" s="28"/>
    </row>
    <row r="310" spans="1:6" s="9" customFormat="1" ht="17" outlineLevel="1" x14ac:dyDescent="0.2">
      <c r="A310" s="17" t="s">
        <v>53</v>
      </c>
      <c r="B310" s="17" t="s">
        <v>54</v>
      </c>
      <c r="C310" s="17" t="s">
        <v>55</v>
      </c>
      <c r="D310" s="17" t="s">
        <v>56</v>
      </c>
      <c r="E310" s="17" t="s">
        <v>57</v>
      </c>
    </row>
    <row r="311" spans="1:6" s="9" customFormat="1" ht="17" outlineLevel="1" x14ac:dyDescent="0.2">
      <c r="A311" s="40" t="s">
        <v>45</v>
      </c>
      <c r="B311" s="40" t="s">
        <v>46</v>
      </c>
      <c r="C311" s="40" t="s">
        <v>47</v>
      </c>
      <c r="D311" s="40" t="s">
        <v>48</v>
      </c>
      <c r="E311" s="40" t="s">
        <v>49</v>
      </c>
      <c r="F311" s="29" t="s">
        <v>50</v>
      </c>
    </row>
    <row r="312" spans="1:6" s="9" customFormat="1" outlineLevel="1" x14ac:dyDescent="0.2">
      <c r="A312" s="40"/>
      <c r="B312" s="40"/>
      <c r="C312" s="40"/>
      <c r="D312" s="41"/>
      <c r="E312" s="42"/>
      <c r="F312" s="30" t="str">
        <f>_xlfn.LET(
  _xlpm.ryhma, Table1719[[#This Row],[Tavararyhmä]],
  _xlpm.kauttakulku, Table1719[[#This Row],[Kauttakulku]],
  _xlpm.tyyppi, Table1719[[#This Row],[Kuljetusyksikkötyyppi]],
  _xlpm.lkm, Table1719[[#This Row],[Lukumäärä]],
  _xlpm.paino, Table1719[[#This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13" spans="1:6" s="9" customFormat="1" outlineLevel="1" x14ac:dyDescent="0.2">
      <c r="A313" s="40"/>
      <c r="B313" s="40"/>
      <c r="C313" s="40"/>
      <c r="D313" s="41"/>
      <c r="E313" s="42"/>
      <c r="F313" s="30" t="str">
        <f>_xlfn.LET(
  _xlpm.ryhma, Table1719[[#This Row],[Tavararyhmä]],
  _xlpm.kauttakulku, Table1719[[#This Row],[Kauttakulku]],
  _xlpm.tyyppi, Table1719[[#This Row],[Kuljetusyksikkötyyppi]],
  _xlpm.lkm, Table1719[[#This Row],[Lukumäärä]],
  _xlpm.paino, Table1719[[#This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14" spans="1:6" s="9" customFormat="1" outlineLevel="1" x14ac:dyDescent="0.2">
      <c r="A314" s="40"/>
      <c r="B314" s="40"/>
      <c r="C314" s="40"/>
      <c r="D314" s="41"/>
      <c r="E314" s="42"/>
      <c r="F314" s="30" t="str">
        <f>_xlfn.LET(
  _xlpm.ryhma, Table1719[[#This Row],[Tavararyhmä]],
  _xlpm.kauttakulku, Table1719[[#This Row],[Kauttakulku]],
  _xlpm.tyyppi, Table1719[[#This Row],[Kuljetusyksikkötyyppi]],
  _xlpm.lkm, Table1719[[#This Row],[Lukumäärä]],
  _xlpm.paino, Table1719[[#This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15" spans="1:6" s="9" customFormat="1" outlineLevel="1" x14ac:dyDescent="0.2">
      <c r="A315" s="40"/>
      <c r="B315" s="40"/>
      <c r="C315" s="40"/>
      <c r="D315" s="41"/>
      <c r="E315" s="42"/>
      <c r="F315" s="30" t="str">
        <f>_xlfn.LET(
  _xlpm.ryhma, Table1719[[#This Row],[Tavararyhmä]],
  _xlpm.kauttakulku, Table1719[[#This Row],[Kauttakulku]],
  _xlpm.tyyppi, Table1719[[#This Row],[Kuljetusyksikkötyyppi]],
  _xlpm.lkm, Table1719[[#This Row],[Lukumäärä]],
  _xlpm.paino, Table1719[[#This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16" spans="1:6" s="9" customFormat="1" outlineLevel="1" x14ac:dyDescent="0.2">
      <c r="A316" s="40"/>
      <c r="B316" s="40"/>
      <c r="C316" s="40"/>
      <c r="D316" s="41"/>
      <c r="E316" s="42"/>
      <c r="F316" s="30" t="str">
        <f>_xlfn.LET(
  _xlpm.ryhma, Table1719[[#This Row],[Tavararyhmä]],
  _xlpm.kauttakulku, Table1719[[#This Row],[Kauttakulku]],
  _xlpm.tyyppi, Table1719[[#This Row],[Kuljetusyksikkötyyppi]],
  _xlpm.lkm, Table1719[[#This Row],[Lukumäärä]],
  _xlpm.paino, Table1719[[#This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17" spans="1:6" s="9" customFormat="1" ht="17" outlineLevel="1" x14ac:dyDescent="0.2">
      <c r="A317" s="40" t="s">
        <v>51</v>
      </c>
      <c r="B317" s="40">
        <f>COUNTIF(Table1719[Kauttakulku],"Kyllä")</f>
        <v>0</v>
      </c>
      <c r="C317" s="40"/>
      <c r="D317" s="41">
        <f>SUBTOTAL(109,Table1719[Lukumäärä])</f>
        <v>0</v>
      </c>
      <c r="E317" s="42">
        <f>SUBTOTAL(109,Table1719[Bruttopaino])</f>
        <v>0</v>
      </c>
      <c r="F317" s="30"/>
    </row>
    <row r="318" spans="1:6" s="9" customFormat="1" x14ac:dyDescent="0.2">
      <c r="F318" s="30"/>
    </row>
    <row r="319" spans="1:6" s="9" customFormat="1" ht="16" customHeight="1" x14ac:dyDescent="0.2">
      <c r="A319" s="24" t="s">
        <v>15</v>
      </c>
      <c r="B319" s="24"/>
      <c r="C319" s="24"/>
      <c r="D319" s="24"/>
      <c r="E319" s="24"/>
      <c r="F319" s="24"/>
    </row>
    <row r="320" spans="1:6" s="9" customFormat="1" ht="17" x14ac:dyDescent="0.2">
      <c r="A320" s="17" t="s">
        <v>16</v>
      </c>
      <c r="B320" s="17" t="s">
        <v>17</v>
      </c>
      <c r="C320" s="17" t="s">
        <v>18</v>
      </c>
      <c r="E320" s="22"/>
    </row>
    <row r="321" spans="1:6" s="9" customFormat="1" ht="17" x14ac:dyDescent="0.2">
      <c r="A321" s="18" t="s">
        <v>19</v>
      </c>
      <c r="B321" s="18" t="s">
        <v>20</v>
      </c>
      <c r="C321" s="18" t="s">
        <v>21</v>
      </c>
      <c r="E321" s="19"/>
    </row>
    <row r="322" spans="1:6" s="9" customFormat="1" x14ac:dyDescent="0.2">
      <c r="A322" s="35"/>
      <c r="B322" s="37"/>
      <c r="C322" s="37"/>
      <c r="E322" s="22"/>
    </row>
    <row r="323" spans="1:6" s="9" customFormat="1" x14ac:dyDescent="0.2">
      <c r="A323" s="21"/>
      <c r="B323" s="21"/>
      <c r="C323" s="17"/>
      <c r="D323" s="21"/>
      <c r="E323" s="22"/>
    </row>
    <row r="324" spans="1:6" s="9" customFormat="1" ht="17" x14ac:dyDescent="0.2">
      <c r="A324" s="17" t="s">
        <v>22</v>
      </c>
      <c r="B324" s="17" t="s">
        <v>23</v>
      </c>
      <c r="C324" s="17" t="s">
        <v>24</v>
      </c>
      <c r="D324" s="17" t="s">
        <v>25</v>
      </c>
      <c r="E324" s="17" t="s">
        <v>129</v>
      </c>
    </row>
    <row r="325" spans="1:6" s="9" customFormat="1" ht="17" x14ac:dyDescent="0.2">
      <c r="A325" s="18" t="s">
        <v>26</v>
      </c>
      <c r="B325" s="18" t="s">
        <v>27</v>
      </c>
      <c r="C325" s="18" t="s">
        <v>28</v>
      </c>
      <c r="D325" s="18" t="s">
        <v>29</v>
      </c>
      <c r="E325" s="18" t="s">
        <v>128</v>
      </c>
    </row>
    <row r="326" spans="1:6" s="9" customFormat="1" x14ac:dyDescent="0.2">
      <c r="A326" s="35"/>
      <c r="B326" s="38"/>
      <c r="C326" s="39"/>
      <c r="D326" s="35"/>
      <c r="E326" s="38"/>
    </row>
    <row r="327" spans="1:6" s="9" customFormat="1" x14ac:dyDescent="0.2">
      <c r="A327" s="21"/>
      <c r="B327" s="21"/>
      <c r="C327" s="17"/>
      <c r="D327" s="21"/>
      <c r="E327" s="22"/>
    </row>
    <row r="328" spans="1:6" s="9" customFormat="1" ht="17" x14ac:dyDescent="0.2">
      <c r="A328" s="17" t="s">
        <v>30</v>
      </c>
      <c r="B328" s="17" t="s">
        <v>31</v>
      </c>
      <c r="C328" s="17" t="s">
        <v>32</v>
      </c>
      <c r="D328" s="17" t="s">
        <v>33</v>
      </c>
      <c r="E328" s="22"/>
    </row>
    <row r="329" spans="1:6" s="9" customFormat="1" ht="17" x14ac:dyDescent="0.2">
      <c r="A329" s="18" t="s">
        <v>34</v>
      </c>
      <c r="B329" s="25" t="s">
        <v>35</v>
      </c>
      <c r="C329" s="18" t="s">
        <v>36</v>
      </c>
      <c r="D329" s="18" t="s">
        <v>37</v>
      </c>
      <c r="E329" s="22"/>
    </row>
    <row r="330" spans="1:6" s="9" customFormat="1" x14ac:dyDescent="0.2">
      <c r="A330" s="35"/>
      <c r="B330" s="35"/>
      <c r="C330" s="35"/>
      <c r="D330" s="35"/>
      <c r="E330" s="22"/>
    </row>
    <row r="331" spans="1:6" s="9" customFormat="1" x14ac:dyDescent="0.2">
      <c r="A331" s="26"/>
      <c r="B331" s="22"/>
      <c r="C331" s="23"/>
      <c r="D331" s="22"/>
      <c r="E331" s="22"/>
    </row>
    <row r="332" spans="1:6" s="9" customFormat="1" ht="16" customHeight="1" x14ac:dyDescent="0.2">
      <c r="A332" s="27" t="s">
        <v>38</v>
      </c>
      <c r="B332" s="27"/>
      <c r="C332" s="27"/>
      <c r="D332" s="27"/>
      <c r="E332" s="27"/>
      <c r="F332" s="27"/>
    </row>
    <row r="333" spans="1:6" s="9" customFormat="1" ht="17" x14ac:dyDescent="0.2">
      <c r="A333" s="28" t="s">
        <v>39</v>
      </c>
      <c r="B333" s="28"/>
      <c r="C333" s="28"/>
      <c r="D333" s="28"/>
      <c r="E333" s="28"/>
    </row>
    <row r="334" spans="1:6" s="9" customFormat="1" ht="17" outlineLevel="1" x14ac:dyDescent="0.2">
      <c r="A334" s="17" t="s">
        <v>40</v>
      </c>
      <c r="B334" s="17" t="s">
        <v>41</v>
      </c>
      <c r="C334" s="17" t="s">
        <v>42</v>
      </c>
      <c r="D334" s="17" t="s">
        <v>43</v>
      </c>
      <c r="E334" s="17" t="s">
        <v>44</v>
      </c>
    </row>
    <row r="335" spans="1:6" s="9" customFormat="1" ht="17" outlineLevel="1" x14ac:dyDescent="0.2">
      <c r="A335" s="40" t="s">
        <v>45</v>
      </c>
      <c r="B335" s="40" t="s">
        <v>46</v>
      </c>
      <c r="C335" s="40" t="s">
        <v>47</v>
      </c>
      <c r="D335" s="40" t="s">
        <v>48</v>
      </c>
      <c r="E335" s="40" t="s">
        <v>49</v>
      </c>
      <c r="F335" s="29" t="s">
        <v>50</v>
      </c>
    </row>
    <row r="336" spans="1:6" s="9" customFormat="1" outlineLevel="1" x14ac:dyDescent="0.2">
      <c r="A336" s="40"/>
      <c r="B336" s="40"/>
      <c r="C336" s="40"/>
      <c r="D336" s="41"/>
      <c r="E336" s="42"/>
      <c r="F336" s="30" t="str">
        <f>_xlfn.LET(
  _xlpm.ryhma, Table120[[#This Row],[Tavararyhmä]],
  _xlpm.kauttakulku, Table120[[#This Row],[Kauttakulku]],
  _xlpm.tyyppi, Table120[[#This Row],[Kuljetusyksikkötyyppi]],
  _xlpm.lkm, Table120[[#This Row],[Lukumäärä]],
  _xlpm.paino, Table120[[#This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37" spans="1:6" s="9" customFormat="1" outlineLevel="1" x14ac:dyDescent="0.2">
      <c r="A337" s="40"/>
      <c r="B337" s="40"/>
      <c r="C337" s="40"/>
      <c r="D337" s="41"/>
      <c r="E337" s="42"/>
      <c r="F337" s="30" t="str">
        <f>_xlfn.LET(
  _xlpm.ryhma, Table120[[#This Row],[Tavararyhmä]],
  _xlpm.kauttakulku, Table120[[#This Row],[Kauttakulku]],
  _xlpm.tyyppi, Table120[[#This Row],[Kuljetusyksikkötyyppi]],
  _xlpm.lkm, Table120[[#This Row],[Lukumäärä]],
  _xlpm.paino, Table120[[#This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38" spans="1:6" s="9" customFormat="1" outlineLevel="1" x14ac:dyDescent="0.2">
      <c r="A338" s="40"/>
      <c r="B338" s="40"/>
      <c r="C338" s="40"/>
      <c r="D338" s="41"/>
      <c r="E338" s="42"/>
      <c r="F338" s="30" t="str">
        <f>_xlfn.LET(
  _xlpm.ryhma, Table120[[#This Row],[Tavararyhmä]],
  _xlpm.kauttakulku, Table120[[#This Row],[Kauttakulku]],
  _xlpm.tyyppi, Table120[[#This Row],[Kuljetusyksikkötyyppi]],
  _xlpm.lkm, Table120[[#This Row],[Lukumäärä]],
  _xlpm.paino, Table120[[#This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39" spans="1:6" s="9" customFormat="1" outlineLevel="1" x14ac:dyDescent="0.2">
      <c r="A339" s="40"/>
      <c r="B339" s="40"/>
      <c r="C339" s="40"/>
      <c r="D339" s="41"/>
      <c r="E339" s="42"/>
      <c r="F339" s="30" t="str">
        <f>_xlfn.LET(
  _xlpm.ryhma, Table120[[#This Row],[Tavararyhmä]],
  _xlpm.kauttakulku, Table120[[#This Row],[Kauttakulku]],
  _xlpm.tyyppi, Table120[[#This Row],[Kuljetusyksikkötyyppi]],
  _xlpm.lkm, Table120[[#This Row],[Lukumäärä]],
  _xlpm.paino, Table120[[#This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40" spans="1:6" s="9" customFormat="1" outlineLevel="1" x14ac:dyDescent="0.2">
      <c r="A340" s="40"/>
      <c r="B340" s="40"/>
      <c r="C340" s="40"/>
      <c r="D340" s="41"/>
      <c r="E340" s="42"/>
      <c r="F340" s="30" t="str">
        <f>_xlfn.LET(
  _xlpm.ryhma, Table120[[#This Row],[Tavararyhmä]],
  _xlpm.kauttakulku, Table120[[#This Row],[Kauttakulku]],
  _xlpm.tyyppi, Table120[[#This Row],[Kuljetusyksikkötyyppi]],
  _xlpm.lkm, Table120[[#This Row],[Lukumäärä]],
  _xlpm.paino, Table120[[#This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41" spans="1:6" s="9" customFormat="1" ht="17" outlineLevel="1" x14ac:dyDescent="0.2">
      <c r="A341" s="40" t="s">
        <v>51</v>
      </c>
      <c r="B341" s="40">
        <f>COUNTIF(Table120[Kauttakulku],"Kyllä")</f>
        <v>0</v>
      </c>
      <c r="C341" s="40"/>
      <c r="D341" s="41">
        <f>SUBTOTAL(109,Table120[Lukumäärä])</f>
        <v>0</v>
      </c>
      <c r="E341" s="42">
        <f>SUBTOTAL(109,Table120[Bruttopaino])</f>
        <v>0</v>
      </c>
      <c r="F341" s="30"/>
    </row>
    <row r="342" spans="1:6" s="9" customFormat="1" ht="17" x14ac:dyDescent="0.2">
      <c r="A342" s="31" t="str">
        <f>" "</f>
        <v xml:space="preserve"> </v>
      </c>
      <c r="B342" s="31"/>
      <c r="C342" s="31"/>
      <c r="D342" s="32"/>
      <c r="E342" s="33"/>
      <c r="F342" s="34"/>
    </row>
    <row r="343" spans="1:6" s="9" customFormat="1" ht="17" x14ac:dyDescent="0.2">
      <c r="A343" s="28" t="s">
        <v>52</v>
      </c>
      <c r="B343" s="28"/>
      <c r="C343" s="28"/>
      <c r="D343" s="28"/>
      <c r="E343" s="28"/>
    </row>
    <row r="344" spans="1:6" s="9" customFormat="1" ht="17" outlineLevel="1" x14ac:dyDescent="0.2">
      <c r="A344" s="17" t="s">
        <v>53</v>
      </c>
      <c r="B344" s="17" t="s">
        <v>54</v>
      </c>
      <c r="C344" s="17" t="s">
        <v>55</v>
      </c>
      <c r="D344" s="17" t="s">
        <v>56</v>
      </c>
      <c r="E344" s="17" t="s">
        <v>57</v>
      </c>
    </row>
    <row r="345" spans="1:6" s="9" customFormat="1" ht="17" outlineLevel="1" x14ac:dyDescent="0.2">
      <c r="A345" s="40" t="s">
        <v>45</v>
      </c>
      <c r="B345" s="40" t="s">
        <v>46</v>
      </c>
      <c r="C345" s="40" t="s">
        <v>47</v>
      </c>
      <c r="D345" s="40" t="s">
        <v>48</v>
      </c>
      <c r="E345" s="40" t="s">
        <v>49</v>
      </c>
      <c r="F345" s="29" t="s">
        <v>50</v>
      </c>
    </row>
    <row r="346" spans="1:6" s="9" customFormat="1" outlineLevel="1" x14ac:dyDescent="0.2">
      <c r="A346" s="40"/>
      <c r="B346" s="40"/>
      <c r="C346" s="40"/>
      <c r="D346" s="41"/>
      <c r="E346" s="42"/>
      <c r="F346" s="30" t="str">
        <f>_xlfn.LET(
  _xlpm.ryhma, Table1721[[#This Row],[Tavararyhmä]],
  _xlpm.kauttakulku, Table1721[[#This Row],[Kauttakulku]],
  _xlpm.tyyppi, Table1721[[#This Row],[Kuljetusyksikkötyyppi]],
  _xlpm.lkm, Table1721[[#This Row],[Lukumäärä]],
  _xlpm.paino, Table1721[[#This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47" spans="1:6" s="9" customFormat="1" outlineLevel="1" x14ac:dyDescent="0.2">
      <c r="A347" s="40"/>
      <c r="B347" s="40"/>
      <c r="C347" s="40"/>
      <c r="D347" s="41"/>
      <c r="E347" s="42"/>
      <c r="F347" s="30" t="str">
        <f>_xlfn.LET(
  _xlpm.ryhma, Table1721[[#This Row],[Tavararyhmä]],
  _xlpm.kauttakulku, Table1721[[#This Row],[Kauttakulku]],
  _xlpm.tyyppi, Table1721[[#This Row],[Kuljetusyksikkötyyppi]],
  _xlpm.lkm, Table1721[[#This Row],[Lukumäärä]],
  _xlpm.paino, Table1721[[#This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48" spans="1:6" s="9" customFormat="1" outlineLevel="1" x14ac:dyDescent="0.2">
      <c r="A348" s="40"/>
      <c r="B348" s="40"/>
      <c r="C348" s="40"/>
      <c r="D348" s="41"/>
      <c r="E348" s="42"/>
      <c r="F348" s="30" t="str">
        <f>_xlfn.LET(
  _xlpm.ryhma, Table1721[[#This Row],[Tavararyhmä]],
  _xlpm.kauttakulku, Table1721[[#This Row],[Kauttakulku]],
  _xlpm.tyyppi, Table1721[[#This Row],[Kuljetusyksikkötyyppi]],
  _xlpm.lkm, Table1721[[#This Row],[Lukumäärä]],
  _xlpm.paino, Table1721[[#This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49" spans="1:6" s="9" customFormat="1" outlineLevel="1" x14ac:dyDescent="0.2">
      <c r="A349" s="40"/>
      <c r="B349" s="40"/>
      <c r="C349" s="40"/>
      <c r="D349" s="41"/>
      <c r="E349" s="42"/>
      <c r="F349" s="30" t="str">
        <f>_xlfn.LET(
  _xlpm.ryhma, Table1721[[#This Row],[Tavararyhmä]],
  _xlpm.kauttakulku, Table1721[[#This Row],[Kauttakulku]],
  _xlpm.tyyppi, Table1721[[#This Row],[Kuljetusyksikkötyyppi]],
  _xlpm.lkm, Table1721[[#This Row],[Lukumäärä]],
  _xlpm.paino, Table1721[[#This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50" spans="1:6" s="9" customFormat="1" outlineLevel="1" x14ac:dyDescent="0.2">
      <c r="A350" s="40"/>
      <c r="B350" s="40"/>
      <c r="C350" s="40"/>
      <c r="D350" s="41"/>
      <c r="E350" s="42"/>
      <c r="F350" s="30" t="str">
        <f>_xlfn.LET(
  _xlpm.ryhma, Table1721[[#This Row],[Tavararyhmä]],
  _xlpm.kauttakulku, Table1721[[#This Row],[Kauttakulku]],
  _xlpm.tyyppi, Table1721[[#This Row],[Kuljetusyksikkötyyppi]],
  _xlpm.lkm, Table1721[[#This Row],[Lukumäärä]],
  _xlpm.paino, Table1721[[#This Row],[Bruttopaino]],
  _xlpm.some_filled, _xlpm.ryhma &amp; _xlpm.kauttakulku &amp; _xlpm.tyyppi &amp; _xlpm.lkm &amp; _xlpm.paino &lt;&gt; "",
  _xlpm.some_empty, OR(_xlpm.ryhma="", _xlpm.kauttakulku="", _xlpm.tyyppi="", _xlpm.lkm="", _xlpm.paino=""),
  _xlpm.cond1, AND(_xlpm.ryhma="Tyhjä kuljetusyksikkö", _xlpm.kauttakulku&lt;&gt;"Ei koske"),
  _xlpm.cond2, AND(_xlpm.ryhma&lt;&gt;"Tyhjä kuljetusyksikkö", _xlpm.kauttakulku="Ei koske"),
  _xlpm.cond3, AND(_xlpm.ryhma="Tyhjä kuljetusyksikkö", _xlpm.paino&lt;&gt;0),
  _xlpm.cond4, AND(_xlpm.some_filled, _xlpm.ryhma&lt;&gt;"Tyhjä kuljetusyksikkö", _xlpm.paino&lt;&gt;"",_xlpm.paino&lt;1),
  _xlpm.cond5, AND(_xlpm.some_filled, _xlpm.some_empty),
  IF(
    _xlpm.cond1,
    "⚠️ Tavararyhmän 'Tyhjä kuljetusyksikkö' kohdalla Kauttakulun tulee olla 'Ei koske'",
    IF(
      _xlpm.cond2,
      "⚠️ Kauttakulku 'Ei koske' sallitaan vain tyhjälle kuljetusyksikölle – valitse 'Kyllä' tai 'Ei'",
      IF(
        _xlpm.cond3,
        "⚠️ Tyhjän kuljetusyksikön bruttopainon pitää olla 0 kg",
        IF(
          _xlpm.cond4,
          "⚠️ Bruttopainon pitää olla ≥ 1 kg",
          IF(
            _xlpm.cond5,
            "⚠️ Täytä loputkin arvot",
            ""
          )
        )
      )
    )
  )
)</f>
        <v/>
      </c>
    </row>
    <row r="351" spans="1:6" s="9" customFormat="1" ht="17" outlineLevel="1" x14ac:dyDescent="0.2">
      <c r="A351" s="40" t="s">
        <v>51</v>
      </c>
      <c r="B351" s="40">
        <f>COUNTIF(Table1721[Kauttakulku],"Kyllä")</f>
        <v>0</v>
      </c>
      <c r="C351" s="40"/>
      <c r="D351" s="41">
        <f>SUBTOTAL(109,Table1721[Lukumäärä])</f>
        <v>0</v>
      </c>
      <c r="E351" s="42">
        <f>SUBTOTAL(109,Table1721[Bruttopaino])</f>
        <v>0</v>
      </c>
      <c r="F351" s="30"/>
    </row>
    <row r="352" spans="1:6" s="43" customFormat="1" x14ac:dyDescent="0.2">
      <c r="F352" s="44"/>
    </row>
  </sheetData>
  <sheetProtection sheet="1" objects="1" scenarios="1" formatCells="0" formatRows="0" insertRows="0" deleteRows="0"/>
  <mergeCells count="24">
    <mergeCell ref="A298:F298"/>
    <mergeCell ref="A319:F319"/>
    <mergeCell ref="A332:F332"/>
    <mergeCell ref="A217:F217"/>
    <mergeCell ref="A230:F230"/>
    <mergeCell ref="A251:F251"/>
    <mergeCell ref="A264:F264"/>
    <mergeCell ref="A285:F285"/>
    <mergeCell ref="A128:F128"/>
    <mergeCell ref="A149:F149"/>
    <mergeCell ref="A162:F162"/>
    <mergeCell ref="A183:F183"/>
    <mergeCell ref="A196:F196"/>
    <mergeCell ref="A47:F47"/>
    <mergeCell ref="A60:F60"/>
    <mergeCell ref="A81:F81"/>
    <mergeCell ref="A94:F94"/>
    <mergeCell ref="A115:F115"/>
    <mergeCell ref="A1:A2"/>
    <mergeCell ref="B1:E1"/>
    <mergeCell ref="B2:E2"/>
    <mergeCell ref="A26:F26"/>
    <mergeCell ref="A13:F13"/>
    <mergeCell ref="B3:E3"/>
  </mergeCells>
  <phoneticPr fontId="14" type="noConversion"/>
  <conditionalFormatting sqref="B30:B34 B40:B44">
    <cfRule type="expression" dxfId="399" priority="93">
      <formula>B30=choose</formula>
    </cfRule>
    <cfRule type="expression" dxfId="398" priority="115" stopIfTrue="1">
      <formula>AND($A30&lt;&gt;"Tyhjä kuljetusyksikkö",$B30="Ei koske")</formula>
    </cfRule>
    <cfRule type="expression" dxfId="397" priority="128" stopIfTrue="1">
      <formula>AND($A30="Tyhjä kuljetusyksikkö",$B30&lt;&gt;"Ei koske")</formula>
    </cfRule>
  </conditionalFormatting>
  <conditionalFormatting sqref="A30:E34 A40:E44">
    <cfRule type="expression" dxfId="396" priority="114" stopIfTrue="1">
      <formula>AND($A30 &amp; $B30 &amp; $C30 &amp; $D30 &amp; $E30 &lt;&gt; "",A30="")</formula>
    </cfRule>
  </conditionalFormatting>
  <conditionalFormatting sqref="F46">
    <cfRule type="expression" dxfId="395" priority="112">
      <formula>TRUE</formula>
    </cfRule>
  </conditionalFormatting>
  <conditionalFormatting sqref="A20 C24:D24 A16:C16 A11:C11">
    <cfRule type="expression" dxfId="394" priority="101" stopIfTrue="1">
      <formula>ISBLANK(A11)</formula>
    </cfRule>
  </conditionalFormatting>
  <conditionalFormatting sqref="C16">
    <cfRule type="expression" dxfId="393" priority="98" stopIfTrue="1">
      <formula>C16&lt;=B16</formula>
    </cfRule>
  </conditionalFormatting>
  <conditionalFormatting sqref="B20:E20">
    <cfRule type="expression" dxfId="392" priority="129" stopIfTrue="1">
      <formula>$B20&amp;$C20&amp;$D20&amp;$E20=""</formula>
    </cfRule>
  </conditionalFormatting>
  <conditionalFormatting sqref="E30:E34 E40:E44">
    <cfRule type="expression" dxfId="391" priority="91">
      <formula>AND($A30&lt;&gt;"",$A30&lt;&gt;emptyCont,E30&lt;1)</formula>
    </cfRule>
    <cfRule type="expression" dxfId="390" priority="92">
      <formula>AND($A30=emptyCont,E30&lt;&gt;0)</formula>
    </cfRule>
  </conditionalFormatting>
  <conditionalFormatting sqref="B64:B68 B74:B78">
    <cfRule type="expression" dxfId="389" priority="83">
      <formula>B64=choose</formula>
    </cfRule>
    <cfRule type="expression" dxfId="388" priority="88" stopIfTrue="1">
      <formula>AND($A64&lt;&gt;"Tyhjä kuljetusyksikkö",$B64="Ei koske")</formula>
    </cfRule>
    <cfRule type="expression" dxfId="387" priority="89" stopIfTrue="1">
      <formula>AND($A64="Tyhjä kuljetusyksikkö",$B64&lt;&gt;"Ei koske")</formula>
    </cfRule>
  </conditionalFormatting>
  <conditionalFormatting sqref="A64:E68 A74:E78">
    <cfRule type="expression" dxfId="386" priority="87" stopIfTrue="1">
      <formula>AND($A64 &amp; $B64 &amp; $C64 &amp; $D64 &amp; $E64 &lt;&gt; "",A64="")</formula>
    </cfRule>
  </conditionalFormatting>
  <conditionalFormatting sqref="F80">
    <cfRule type="expression" dxfId="385" priority="86">
      <formula>TRUE</formula>
    </cfRule>
  </conditionalFormatting>
  <conditionalFormatting sqref="A54 C58:D58 A50:C50">
    <cfRule type="expression" dxfId="384" priority="85" stopIfTrue="1">
      <formula>ISBLANK(A50)</formula>
    </cfRule>
  </conditionalFormatting>
  <conditionalFormatting sqref="C50">
    <cfRule type="expression" dxfId="383" priority="84" stopIfTrue="1">
      <formula>C50&lt;=B50</formula>
    </cfRule>
  </conditionalFormatting>
  <conditionalFormatting sqref="B54:E54">
    <cfRule type="expression" dxfId="382" priority="90" stopIfTrue="1">
      <formula>$B54&amp;$C54&amp;$D54&amp;$E54=""</formula>
    </cfRule>
  </conditionalFormatting>
  <conditionalFormatting sqref="E64:E68 E74:E78">
    <cfRule type="expression" dxfId="381" priority="81">
      <formula>AND($A64&lt;&gt;"",$A64&lt;&gt;emptyCont,E64&lt;1)</formula>
    </cfRule>
    <cfRule type="expression" dxfId="380" priority="82">
      <formula>AND($A64=emptyCont,E64&lt;&gt;0)</formula>
    </cfRule>
  </conditionalFormatting>
  <conditionalFormatting sqref="B98:B102 B108:B112">
    <cfRule type="expression" dxfId="379" priority="73">
      <formula>B98=choose</formula>
    </cfRule>
    <cfRule type="expression" dxfId="378" priority="78" stopIfTrue="1">
      <formula>AND($A98&lt;&gt;"Tyhjä kuljetusyksikkö",$B98="Ei koske")</formula>
    </cfRule>
    <cfRule type="expression" dxfId="377" priority="79" stopIfTrue="1">
      <formula>AND($A98="Tyhjä kuljetusyksikkö",$B98&lt;&gt;"Ei koske")</formula>
    </cfRule>
  </conditionalFormatting>
  <conditionalFormatting sqref="A98:E102 A108:E112">
    <cfRule type="expression" dxfId="376" priority="77" stopIfTrue="1">
      <formula>AND($A98 &amp; $B98 &amp; $C98 &amp; $D98 &amp; $E98 &lt;&gt; "",A98="")</formula>
    </cfRule>
  </conditionalFormatting>
  <conditionalFormatting sqref="F114">
    <cfRule type="expression" dxfId="375" priority="76">
      <formula>TRUE</formula>
    </cfRule>
  </conditionalFormatting>
  <conditionalFormatting sqref="A88 C92:D92 A84:C84">
    <cfRule type="expression" dxfId="374" priority="75" stopIfTrue="1">
      <formula>ISBLANK(A84)</formula>
    </cfRule>
  </conditionalFormatting>
  <conditionalFormatting sqref="C84">
    <cfRule type="expression" dxfId="373" priority="74" stopIfTrue="1">
      <formula>C84&lt;=B84</formula>
    </cfRule>
  </conditionalFormatting>
  <conditionalFormatting sqref="B88:E88">
    <cfRule type="expression" dxfId="372" priority="80" stopIfTrue="1">
      <formula>$B88&amp;$C88&amp;$D88&amp;$E88=""</formula>
    </cfRule>
  </conditionalFormatting>
  <conditionalFormatting sqref="E98:E102 E108:E112">
    <cfRule type="expression" dxfId="371" priority="71">
      <formula>AND($A98&lt;&gt;"",$A98&lt;&gt;emptyCont,E98&lt;1)</formula>
    </cfRule>
    <cfRule type="expression" dxfId="370" priority="72">
      <formula>AND($A98=emptyCont,E98&lt;&gt;0)</formula>
    </cfRule>
  </conditionalFormatting>
  <conditionalFormatting sqref="B132:B136 B142:B146">
    <cfRule type="expression" dxfId="369" priority="63">
      <formula>B132=choose</formula>
    </cfRule>
    <cfRule type="expression" dxfId="368" priority="68" stopIfTrue="1">
      <formula>AND($A132&lt;&gt;"Tyhjä kuljetusyksikkö",$B132="Ei koske")</formula>
    </cfRule>
    <cfRule type="expression" dxfId="367" priority="69" stopIfTrue="1">
      <formula>AND($A132="Tyhjä kuljetusyksikkö",$B132&lt;&gt;"Ei koske")</formula>
    </cfRule>
  </conditionalFormatting>
  <conditionalFormatting sqref="A132:E136 A142:E146">
    <cfRule type="expression" dxfId="366" priority="67" stopIfTrue="1">
      <formula>AND($A132 &amp; $B132 &amp; $C132 &amp; $D132 &amp; $E132 &lt;&gt; "",A132="")</formula>
    </cfRule>
  </conditionalFormatting>
  <conditionalFormatting sqref="F148">
    <cfRule type="expression" dxfId="365" priority="66">
      <formula>TRUE</formula>
    </cfRule>
  </conditionalFormatting>
  <conditionalFormatting sqref="A122 C126:D126 A118:C118">
    <cfRule type="expression" dxfId="364" priority="65" stopIfTrue="1">
      <formula>ISBLANK(A118)</formula>
    </cfRule>
  </conditionalFormatting>
  <conditionalFormatting sqref="C118">
    <cfRule type="expression" dxfId="363" priority="64" stopIfTrue="1">
      <formula>C118&lt;=B118</formula>
    </cfRule>
  </conditionalFormatting>
  <conditionalFormatting sqref="B122:E122">
    <cfRule type="expression" dxfId="362" priority="70" stopIfTrue="1">
      <formula>$B122&amp;$C122&amp;$D122&amp;$E122=""</formula>
    </cfRule>
  </conditionalFormatting>
  <conditionalFormatting sqref="E132:E136 E142:E146">
    <cfRule type="expression" dxfId="361" priority="61">
      <formula>AND($A132&lt;&gt;"",$A132&lt;&gt;emptyCont,E132&lt;1)</formula>
    </cfRule>
    <cfRule type="expression" dxfId="360" priority="62">
      <formula>AND($A132=emptyCont,E132&lt;&gt;0)</formula>
    </cfRule>
  </conditionalFormatting>
  <conditionalFormatting sqref="B166:B170 B176:B180">
    <cfRule type="expression" dxfId="359" priority="53">
      <formula>B166=choose</formula>
    </cfRule>
    <cfRule type="expression" dxfId="358" priority="58" stopIfTrue="1">
      <formula>AND($A166&lt;&gt;"Tyhjä kuljetusyksikkö",$B166="Ei koske")</formula>
    </cfRule>
    <cfRule type="expression" dxfId="357" priority="59" stopIfTrue="1">
      <formula>AND($A166="Tyhjä kuljetusyksikkö",$B166&lt;&gt;"Ei koske")</formula>
    </cfRule>
  </conditionalFormatting>
  <conditionalFormatting sqref="A166:E170 A176:E180">
    <cfRule type="expression" dxfId="356" priority="57" stopIfTrue="1">
      <formula>AND($A166 &amp; $B166 &amp; $C166 &amp; $D166 &amp; $E166 &lt;&gt; "",A166="")</formula>
    </cfRule>
  </conditionalFormatting>
  <conditionalFormatting sqref="F182">
    <cfRule type="expression" dxfId="355" priority="56">
      <formula>TRUE</formula>
    </cfRule>
  </conditionalFormatting>
  <conditionalFormatting sqref="A156 C160:D160 A152:C152">
    <cfRule type="expression" dxfId="354" priority="55" stopIfTrue="1">
      <formula>ISBLANK(A152)</formula>
    </cfRule>
  </conditionalFormatting>
  <conditionalFormatting sqref="C152">
    <cfRule type="expression" dxfId="353" priority="54" stopIfTrue="1">
      <formula>C152&lt;=B152</formula>
    </cfRule>
  </conditionalFormatting>
  <conditionalFormatting sqref="B156:E156">
    <cfRule type="expression" dxfId="352" priority="60" stopIfTrue="1">
      <formula>$B156&amp;$C156&amp;$D156&amp;$E156=""</formula>
    </cfRule>
  </conditionalFormatting>
  <conditionalFormatting sqref="E166:E170 E176:E180">
    <cfRule type="expression" dxfId="351" priority="51">
      <formula>AND($A166&lt;&gt;"",$A166&lt;&gt;emptyCont,E166&lt;1)</formula>
    </cfRule>
    <cfRule type="expression" dxfId="350" priority="52">
      <formula>AND($A166=emptyCont,E166&lt;&gt;0)</formula>
    </cfRule>
  </conditionalFormatting>
  <conditionalFormatting sqref="B200:B204 B210:B214">
    <cfRule type="expression" dxfId="349" priority="43">
      <formula>B200=choose</formula>
    </cfRule>
    <cfRule type="expression" dxfId="348" priority="48" stopIfTrue="1">
      <formula>AND($A200&lt;&gt;"Tyhjä kuljetusyksikkö",$B200="Ei koske")</formula>
    </cfRule>
    <cfRule type="expression" dxfId="347" priority="49" stopIfTrue="1">
      <formula>AND($A200="Tyhjä kuljetusyksikkö",$B200&lt;&gt;"Ei koske")</formula>
    </cfRule>
  </conditionalFormatting>
  <conditionalFormatting sqref="A200:E204 A210:E214">
    <cfRule type="expression" dxfId="346" priority="47" stopIfTrue="1">
      <formula>AND($A200 &amp; $B200 &amp; $C200 &amp; $D200 &amp; $E200 &lt;&gt; "",A200="")</formula>
    </cfRule>
  </conditionalFormatting>
  <conditionalFormatting sqref="F216">
    <cfRule type="expression" dxfId="345" priority="46">
      <formula>TRUE</formula>
    </cfRule>
  </conditionalFormatting>
  <conditionalFormatting sqref="A190 C194:D194 A186:C186">
    <cfRule type="expression" dxfId="344" priority="45" stopIfTrue="1">
      <formula>ISBLANK(A186)</formula>
    </cfRule>
  </conditionalFormatting>
  <conditionalFormatting sqref="C186">
    <cfRule type="expression" dxfId="343" priority="44" stopIfTrue="1">
      <formula>C186&lt;=B186</formula>
    </cfRule>
  </conditionalFormatting>
  <conditionalFormatting sqref="B190:E190">
    <cfRule type="expression" dxfId="342" priority="50" stopIfTrue="1">
      <formula>$B190&amp;$C190&amp;$D190&amp;$E190=""</formula>
    </cfRule>
  </conditionalFormatting>
  <conditionalFormatting sqref="E200:E204 E210:E214">
    <cfRule type="expression" dxfId="341" priority="41">
      <formula>AND($A200&lt;&gt;"",$A200&lt;&gt;emptyCont,E200&lt;1)</formula>
    </cfRule>
    <cfRule type="expression" dxfId="340" priority="42">
      <formula>AND($A200=emptyCont,E200&lt;&gt;0)</formula>
    </cfRule>
  </conditionalFormatting>
  <conditionalFormatting sqref="B234:B238 B244:B248">
    <cfRule type="expression" dxfId="339" priority="33">
      <formula>B234=choose</formula>
    </cfRule>
    <cfRule type="expression" dxfId="338" priority="38" stopIfTrue="1">
      <formula>AND($A234&lt;&gt;"Tyhjä kuljetusyksikkö",$B234="Ei koske")</formula>
    </cfRule>
    <cfRule type="expression" dxfId="337" priority="39" stopIfTrue="1">
      <formula>AND($A234="Tyhjä kuljetusyksikkö",$B234&lt;&gt;"Ei koske")</formula>
    </cfRule>
  </conditionalFormatting>
  <conditionalFormatting sqref="A234:E238 A244:E248">
    <cfRule type="expression" dxfId="336" priority="37" stopIfTrue="1">
      <formula>AND($A234 &amp; $B234 &amp; $C234 &amp; $D234 &amp; $E234 &lt;&gt; "",A234="")</formula>
    </cfRule>
  </conditionalFormatting>
  <conditionalFormatting sqref="F250">
    <cfRule type="expression" dxfId="335" priority="36">
      <formula>TRUE</formula>
    </cfRule>
  </conditionalFormatting>
  <conditionalFormatting sqref="A224 C228:D228 A220:C220">
    <cfRule type="expression" dxfId="334" priority="35" stopIfTrue="1">
      <formula>ISBLANK(A220)</formula>
    </cfRule>
  </conditionalFormatting>
  <conditionalFormatting sqref="C220">
    <cfRule type="expression" dxfId="333" priority="34" stopIfTrue="1">
      <formula>C220&lt;=B220</formula>
    </cfRule>
  </conditionalFormatting>
  <conditionalFormatting sqref="B224:E224">
    <cfRule type="expression" dxfId="332" priority="40" stopIfTrue="1">
      <formula>$B224&amp;$C224&amp;$D224&amp;$E224=""</formula>
    </cfRule>
  </conditionalFormatting>
  <conditionalFormatting sqref="E234:E238 E244:E248">
    <cfRule type="expression" dxfId="331" priority="31">
      <formula>AND($A234&lt;&gt;"",$A234&lt;&gt;emptyCont,E234&lt;1)</formula>
    </cfRule>
    <cfRule type="expression" dxfId="330" priority="32">
      <formula>AND($A234=emptyCont,E234&lt;&gt;0)</formula>
    </cfRule>
  </conditionalFormatting>
  <conditionalFormatting sqref="B268:B272 B278:B282">
    <cfRule type="expression" dxfId="329" priority="23">
      <formula>B268=choose</formula>
    </cfRule>
    <cfRule type="expression" dxfId="328" priority="28" stopIfTrue="1">
      <formula>AND($A268&lt;&gt;"Tyhjä kuljetusyksikkö",$B268="Ei koske")</formula>
    </cfRule>
    <cfRule type="expression" dxfId="327" priority="29" stopIfTrue="1">
      <formula>AND($A268="Tyhjä kuljetusyksikkö",$B268&lt;&gt;"Ei koske")</formula>
    </cfRule>
  </conditionalFormatting>
  <conditionalFormatting sqref="A268:E272 A278:E282">
    <cfRule type="expression" dxfId="326" priority="27" stopIfTrue="1">
      <formula>AND($A268 &amp; $B268 &amp; $C268 &amp; $D268 &amp; $E268 &lt;&gt; "",A268="")</formula>
    </cfRule>
  </conditionalFormatting>
  <conditionalFormatting sqref="F284">
    <cfRule type="expression" dxfId="325" priority="26">
      <formula>TRUE</formula>
    </cfRule>
  </conditionalFormatting>
  <conditionalFormatting sqref="A258 C262:D262 A254:C254">
    <cfRule type="expression" dxfId="324" priority="25" stopIfTrue="1">
      <formula>ISBLANK(A254)</formula>
    </cfRule>
  </conditionalFormatting>
  <conditionalFormatting sqref="C254">
    <cfRule type="expression" dxfId="323" priority="24" stopIfTrue="1">
      <formula>C254&lt;=B254</formula>
    </cfRule>
  </conditionalFormatting>
  <conditionalFormatting sqref="B258:E258">
    <cfRule type="expression" dxfId="322" priority="30" stopIfTrue="1">
      <formula>$B258&amp;$C258&amp;$D258&amp;$E258=""</formula>
    </cfRule>
  </conditionalFormatting>
  <conditionalFormatting sqref="E268:E272 E278:E282">
    <cfRule type="expression" dxfId="321" priority="21">
      <formula>AND($A268&lt;&gt;"",$A268&lt;&gt;emptyCont,E268&lt;1)</formula>
    </cfRule>
    <cfRule type="expression" dxfId="320" priority="22">
      <formula>AND($A268=emptyCont,E268&lt;&gt;0)</formula>
    </cfRule>
  </conditionalFormatting>
  <conditionalFormatting sqref="B302:B306 B312:B316">
    <cfRule type="expression" dxfId="319" priority="13">
      <formula>B302=choose</formula>
    </cfRule>
    <cfRule type="expression" dxfId="318" priority="18" stopIfTrue="1">
      <formula>AND($A302&lt;&gt;"Tyhjä kuljetusyksikkö",$B302="Ei koske")</formula>
    </cfRule>
    <cfRule type="expression" dxfId="317" priority="19" stopIfTrue="1">
      <formula>AND($A302="Tyhjä kuljetusyksikkö",$B302&lt;&gt;"Ei koske")</formula>
    </cfRule>
  </conditionalFormatting>
  <conditionalFormatting sqref="A302:E306 A312:E316">
    <cfRule type="expression" dxfId="316" priority="17" stopIfTrue="1">
      <formula>AND($A302 &amp; $B302 &amp; $C302 &amp; $D302 &amp; $E302 &lt;&gt; "",A302="")</formula>
    </cfRule>
  </conditionalFormatting>
  <conditionalFormatting sqref="F318">
    <cfRule type="expression" dxfId="315" priority="16">
      <formula>TRUE</formula>
    </cfRule>
  </conditionalFormatting>
  <conditionalFormatting sqref="A292 C296:D296 A288:C288">
    <cfRule type="expression" dxfId="314" priority="15" stopIfTrue="1">
      <formula>ISBLANK(A288)</formula>
    </cfRule>
  </conditionalFormatting>
  <conditionalFormatting sqref="C288">
    <cfRule type="expression" dxfId="313" priority="14" stopIfTrue="1">
      <formula>C288&lt;=B288</formula>
    </cfRule>
  </conditionalFormatting>
  <conditionalFormatting sqref="B292:E292">
    <cfRule type="expression" dxfId="312" priority="20" stopIfTrue="1">
      <formula>$B292&amp;$C292&amp;$D292&amp;$E292=""</formula>
    </cfRule>
  </conditionalFormatting>
  <conditionalFormatting sqref="E302:E306 E312:E316">
    <cfRule type="expression" dxfId="311" priority="11">
      <formula>AND($A302&lt;&gt;"",$A302&lt;&gt;emptyCont,E302&lt;1)</formula>
    </cfRule>
    <cfRule type="expression" dxfId="310" priority="12">
      <formula>AND($A302=emptyCont,E302&lt;&gt;0)</formula>
    </cfRule>
  </conditionalFormatting>
  <conditionalFormatting sqref="B336:B340 B346:B350">
    <cfRule type="expression" dxfId="309" priority="3">
      <formula>B336=choose</formula>
    </cfRule>
    <cfRule type="expression" dxfId="308" priority="8" stopIfTrue="1">
      <formula>AND($A336&lt;&gt;"Tyhjä kuljetusyksikkö",$B336="Ei koske")</formula>
    </cfRule>
    <cfRule type="expression" dxfId="307" priority="9" stopIfTrue="1">
      <formula>AND($A336="Tyhjä kuljetusyksikkö",$B336&lt;&gt;"Ei koske")</formula>
    </cfRule>
  </conditionalFormatting>
  <conditionalFormatting sqref="A336:E340 A346:E350">
    <cfRule type="expression" dxfId="306" priority="7" stopIfTrue="1">
      <formula>AND($A336 &amp; $B336 &amp; $C336 &amp; $D336 &amp; $E336 &lt;&gt; "",A336="")</formula>
    </cfRule>
  </conditionalFormatting>
  <conditionalFormatting sqref="F352">
    <cfRule type="expression" dxfId="305" priority="6">
      <formula>TRUE</formula>
    </cfRule>
  </conditionalFormatting>
  <conditionalFormatting sqref="A326 C330:D330 A322:C322">
    <cfRule type="expression" dxfId="304" priority="5" stopIfTrue="1">
      <formula>ISBLANK(A322)</formula>
    </cfRule>
  </conditionalFormatting>
  <conditionalFormatting sqref="C322">
    <cfRule type="expression" dxfId="303" priority="4" stopIfTrue="1">
      <formula>C322&lt;=B322</formula>
    </cfRule>
  </conditionalFormatting>
  <conditionalFormatting sqref="B326:E326">
    <cfRule type="expression" dxfId="302" priority="10" stopIfTrue="1">
      <formula>$B326&amp;$C326&amp;$D326&amp;$E326=""</formula>
    </cfRule>
  </conditionalFormatting>
  <conditionalFormatting sqref="E336:E340 E346:E350">
    <cfRule type="expression" dxfId="301" priority="1">
      <formula>AND($A336&lt;&gt;"",$A336&lt;&gt;emptyCont,E336&lt;1)</formula>
    </cfRule>
    <cfRule type="expression" dxfId="300" priority="2">
      <formula>AND($A336=emptyCont,E336&lt;&gt;0)</formula>
    </cfRule>
  </conditionalFormatting>
  <dataValidations count="63">
    <dataValidation type="textLength" allowBlank="1" showInputMessage="1" showErrorMessage="1" errorTitle="Raportoija" error="Maksimissaan 35 merkkiä" promptTitle="Raportoija" prompt="Organisaatio tai yhdistys, joka tämän raportin täyttää._x000a__x000a_Maksimissaan 35 merkkiä." sqref="A11" xr:uid="{C21A5FD8-3747-AA46-8AF4-1FA089B067E1}">
      <formula1>1</formula1>
      <formula2>35</formula2>
    </dataValidation>
    <dataValidation type="custom" allowBlank="1" showInputMessage="1" showErrorMessage="1" errorTitle="Raportointisatama" error="Alkaa FI, yhteensä 5 merkkiä pitkä" promptTitle="Raportointisatama" prompt="UN/LOCODE muodossa, eli 5 merkkiä, alkaa FI, esim:_x000a_FIHEL" sqref="B11" xr:uid="{CB8136FE-1320-EC45-8266-FC7688DF0E50}">
      <formula1>_xlfn.LET(_xlpm.in,B11,_xlpm.len,LEN(_xlpm.in)=5,_xlpm.startsFI,LEFT(_xlpm.in,2)="FI",AND(_xlpm.len,_xlpm.startsFI))</formula1>
    </dataValidation>
    <dataValidation type="textLength" operator="greaterThan" allowBlank="1" showInputMessage="1" showErrorMessage="1" errorTitle="Mitä kuuta raportointi koskee" error="Ilmoita raportointikuun ajankohta esim. muodossa &quot;vvvv-kk&quot;" promptTitle="Mitä kuuta raportointi koskee" prompt="Syötä raportointiajankohta esim. 2026-01 tai tammikuu 2026." sqref="C11" xr:uid="{1766CE55-C6D8-3C43-B1FD-3056D8F7F7AA}">
      <formula1>1</formula1>
    </dataValidation>
    <dataValidation type="custom" allowBlank="1" showInputMessage="1" showErrorMessage="1" errorTitle="Visit ID" error="Tarkista Visit ID kentän arvo" promptTitle="Visit ID" sqref="A16 A50 A84 A118 A152 A186 A220 A254 A288 A322" xr:uid="{8F517569-9A66-A54A-9FAE-7EFC22369144}">
      <formula1>IFERROR(_xlfn.LET(_xlpm.x,A16,_xlpm.n,SUBSTITUTE(MID(_xlpm.x,3,LEN(_xlpm.x)-4),"-",""),AND(LEFT(_xlpm.x,2)="FI",MID(_xlpm.x,11,1)="-",MID(_xlpm.x,LEN(_xlpm.x)-1,1)="-",LEN(_xlpm.x)&gt;15,ISNUMBER(--MID(_xlpm.x,3,8)),ISNUMBER(--MID(_xlpm.x,12,LEN(_xlpm.x)-14)),--RIGHT(_xlpm.x)=MOD(SUM(--MID(_xlpm.n,_xlfn.SEQUENCE(LEN(_xlpm.n)),1)),10))),FALSE)</formula1>
    </dataValidation>
    <dataValidation type="date" operator="greaterThanOrEqual" allowBlank="1" showInputMessage="1" showErrorMessage="1" errorTitle="Saapumisaika (ATA)" error="Tarkista päivämäärän muoto." promptTitle="Saapumisaika (ATA)" prompt="Saapumisen päivämäärä ja kellonaika muodossa:_x000a_vvvv-kk-pp hh:mm" sqref="B16 B50 B84 B118 B152 B186 B220 B254 B288 B322" xr:uid="{8AE4541D-B9B5-9348-848B-2C239BFA1E97}">
      <formula1>45901</formula1>
    </dataValidation>
    <dataValidation type="date" operator="greaterThanOrEqual" allowBlank="1" showInputMessage="1" showErrorMessage="1" errorTitle="Lähtöaika (ATD)" error="Tarkista päivämäärän muoto ja että se on saapumisajan jälkeen." promptTitle="Lähtöaika (ATD)" prompt="Lähdön päivämäärä ja kellonaika muodossa:_x000a_vvvv-kk-pp hh:mm_x000a__x000a_Pitää olla saapumisajan jälkeen." sqref="C16 C50 C84 C118 C152 C186 C220 C254 C288 C322" xr:uid="{5FDF5C80-588B-3347-8A58-E611CD9EAD2B}">
      <formula1>B16</formula1>
    </dataValidation>
    <dataValidation type="textLength" operator="lessThanOrEqual" allowBlank="1" showInputMessage="1" showErrorMessage="1" errorTitle="Aluksen nimi" error="Maksimissaan 35 merkkiä" promptTitle="Aluksen nimi" prompt="Maksimissaan 35 merkkiä" sqref="A20 A54 A88 A122 A156 A190 A224 A258 A292 A326" xr:uid="{297AC965-4080-7745-95E0-995F038BF425}">
      <formula1>35</formula1>
    </dataValidation>
    <dataValidation type="custom" allowBlank="1" showInputMessage="1" showErrorMessage="1" errorTitle="Aluksen kutsutunnus" error="Tarkista, että kutsutunnus on 4-12 merkkiä pitkä" promptTitle="Aluksen kutsutunnus" prompt="4-12 merkkiä pitkä tunnus_x000a__x000a_Syötä vähintään yksi näistä kentistä: IMO, MMSI, kutsutunnus, muu alustunniste" sqref="D20 D54 D88 D122 D156 D190 D224 D258 D292 D326" xr:uid="{7D37F110-2B57-0341-9536-B7A149E0F233}">
      <formula1>AND(LEN(D20)&gt;=4, LEN(D20)&lt;=12)</formula1>
    </dataValidation>
    <dataValidation type="custom" allowBlank="1" showInputMessage="1" showErrorMessage="1" errorTitle="Muu alustunniste" error="Tarkista, että muu alustunniste on maksimissaan 25 merkkiä pitkä, eikä ala tai pääty välilyönnillä." promptTitle="Muu alustunniste" prompt="Maksimissaan 25 merkkiä pitkä tunniste joka ei ala tai pääty välilyönnillä._x000a__x000a_Syötä vähintään yksi näistä kentistä: IMO, MMSI, kutsutunnus, muu alustunniste" sqref="E20 E54 E88 E122 E156 E190 E224 E258 E292 E326" xr:uid="{2FD05E9D-1FD3-1B49-970A-9CE8A6534476}">
      <formula1>AND(LEN(E20&amp;"")&lt;=25,E20&amp;""=TRIM(E20&amp;""))</formula1>
    </dataValidation>
    <dataValidation type="whole" operator="greaterThanOrEqual" allowBlank="1" showInputMessage="1" showErrorMessage="1" errorTitle="Risteilymatkustajien lkm." error="Kokonaisluku" promptTitle="Risteilymatkustajien lkm." prompt="Vapaaehtoinen kenttä. Ilmoita risteilymatkustajien lukumäärä, joiden risteily alkaa tai päättyy raportointisatamaan._x000a__x000a_Täytä vain varsinaisille risteilyaluksille (ei koske linjaliikenteen aluksia)." sqref="A24 A58 A92 A126 A160 A194 A228 A262 A296 A330" xr:uid="{CF2BA341-627C-A14D-86B8-B3BEBD2429A0}">
      <formula1>0</formula1>
    </dataValidation>
    <dataValidation type="whole" operator="greaterThanOrEqual" allowBlank="1" showInputMessage="1" showErrorMessage="1" error="Kokonaisluku" prompt="Vapaaehtoinen kenttä. Ilmoita maissa käyneiden risteilymatkustajien lukumäärä._x000a__x000a_Täytä vain varsinaisille risteilyaluksille (ei koske linjaliikenteen aluksia)." sqref="B24 B58 B92 B126 B160 B194 B228 B262 B296 B330" xr:uid="{82F63677-6ABA-F446-9C1D-E24EA84A1031}">
      <formula1>0</formula1>
    </dataValidation>
    <dataValidation type="list" allowBlank="1" showInputMessage="1" showErrorMessage="1" errorTitle="Laiva saapuu" error="joko &quot;kotimaan liikenteessä&quot; tai &quot;ulkomaan liikenteessä&quot;" promptTitle="Laiva saapuu" prompt="joko &quot;kotimaan liikenteessä&quot; tai &quot;ulkomaan liikenteessä&quot;" sqref="C24 C58 C92 C126 C160 C194 C228 C262 C296 C330" xr:uid="{8B3DFE05-DCF1-3145-BCBF-5069E740FCDF}">
      <formula1>Liikennetyyppi</formula1>
    </dataValidation>
    <dataValidation type="list" allowBlank="1" showInputMessage="1" showErrorMessage="1" errorTitle="Laiva lähtee" error="joko &quot;kotimaan liikenteessä&quot; tai &quot;ulkomaan liikenteessä&quot;" promptTitle="Laiva lähtee" prompt="joko &quot;kotimaan liikenteessä&quot; tai &quot;ulkomaan liikenteessä&quot;" sqref="D24 D58 D92 D126 D160 D194 D228 D262 D296 D330" xr:uid="{3524ACAE-BDEA-4D4A-8691-C486EE1D82C4}">
      <formula1>Liikennetyyppi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30 A64 A98 A132 A166 A200 A234 A268 A302 A336" xr:uid="{72B00740-A8EF-A946-B298-F1394845BE52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30 B64 B98 B132 B166 B200 B234 B268 B302 B336" xr:uid="{267C003F-3E95-B14A-A61C-19922A89488F}">
      <formula1>INDIRECT(IF($A30 = "", "choose", IF($A30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30 C64 C98 C132 C166 C200 C234 C268 C302 C336" xr:uid="{8550BF7C-6D71-FD44-8FB6-0CEF1DD9CFED}">
      <formula1>Kuljetusyksikkötyyppi</formula1>
    </dataValidation>
    <dataValidation type="whole" operator="greaterThan" allowBlank="1" showInputMessage="1" showErrorMessage="1" errorTitle="Kuljetusyksiköiden lukumäärä" error="Kokonaisluku" promptTitle="Kuljetusyksiköiden lukumäärä" prompt="Syötä tavararyhmään liittyvien kuljetusyksiköiden lukumäärä kokonaislukuna." sqref="D30 D64 D98 D132 D166 D200 D234 D268 D302 D336" xr:uid="{FF88FD5E-D6C1-4F43-9089-D69E6F818960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30 E64 E98 E132 E166 E200 E234 E268 E302 E336" xr:uid="{AC8943AF-2C1C-EB47-ACF5-39DD2E1F0213}">
      <formula1>_xlfn.LET(_xlpm.a,A30,_xlpm.e,E30,IF(AND(_xlpm.a="",_xlpm.e=""),TRUE,IF(_xlpm.a=emptyCont,AND(ISNUMBER(_xlpm.e),_xlpm.e=0),AND(ISNUMBER(_xlpm.e),_xlpm.e&gt;0,_xlpm.e=INT(_xlpm.e)))))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31 A65 A99 A133 A167 A201 A235 A269 A303 A337" xr:uid="{28C0A108-92E2-194B-8DA2-3D392780A798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31 B65 B99 B133 B167 B201 B235 B269 B303 B337" xr:uid="{EEF232D7-E7E9-AA4A-995A-2DD692C8068D}">
      <formula1>INDIRECT(IF($A31 = "", "choose", IF($A31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31 C65 C99 C133 C167 C201 C235 C269 C303 C337" xr:uid="{15E6E556-F596-E54B-B820-2BF0E782A0BE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31 D65 D99 D133 D167 D201 D235 D269 D303 D337" xr:uid="{94293EA2-C03B-3546-A0F1-C6863795C5AF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31 E65 E99 E133 E167 E201 E235 E269 E303 E337" xr:uid="{72EA0358-27CC-104B-87EC-1B012C16855E}">
      <formula1>_xlfn.LET(_xlpm.a,A31,_xlpm.e,E31,IF(AND(_xlpm.a="",_xlpm.e=""),TRUE,IF(_xlpm.a=emptyCont,AND(ISNUMBER(_xlpm.e),_xlpm.e=0),AND(ISNUMBER(_xlpm.e),_xlpm.e&gt;0,_xlpm.e=INT(_xlpm.e)))))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32 A66 A100 A134 A168 A202 A236 A270 A304 A338" xr:uid="{F33BAD30-23FA-A148-8FB5-A73FF117DD2B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32 B66 B100 B134 B168 B202 B236 B270 B304 B338" xr:uid="{421456CF-3DE6-CF43-A193-29FBAF20D01F}">
      <formula1>INDIRECT(IF($A32 = "", "choose", IF($A32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32 C66 C100 C134 C168 C202 C236 C270 C304 C338" xr:uid="{0E1E9394-5F87-3C4E-B1E7-4E2571E26510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32 D66 D100 D134 D168 D202 D236 D270 D304 D338" xr:uid="{DE8F268D-EF65-1D4D-8828-D657B8150146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32 E66 E100 E134 E168 E202 E236 E270 E304 E338" xr:uid="{418598F9-4DFC-8346-ABD0-00693D862500}">
      <formula1>_xlfn.LET(_xlpm.a,A32,_xlpm.e,E32,IF(AND(_xlpm.a="",_xlpm.e=""),TRUE,IF(_xlpm.a=emptyCont,AND(ISNUMBER(_xlpm.e),_xlpm.e=0),AND(ISNUMBER(_xlpm.e),_xlpm.e&gt;0,_xlpm.e=INT(_xlpm.e)))))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33 A67 A101 A135 A169 A203 A237 A271 A305 A339" xr:uid="{E27F9EF5-3635-0246-BC3B-7A77201F2643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33 B67 B101 B135 B169 B203 B237 B271 B305 B339" xr:uid="{C13071AC-AD92-1041-BB64-DBA17194904E}">
      <formula1>INDIRECT(IF($A33 = "", "choose", IF($A33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33 C67 C101 C135 C169 C203 C237 C271 C305 C339" xr:uid="{248FC2AB-FECA-E048-91D6-9D6DB4920CE3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33 D67 D101 D135 D169 D203 D237 D271 D305 D339" xr:uid="{4677B0F8-AF5F-F449-878A-C1BF6058F545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33 E67 E101 E135 E169 E203 E237 E271 E305 E339" xr:uid="{2C24C164-222D-7448-9DB5-EF29276EDD5E}">
      <formula1>_xlfn.LET(_xlpm.a,A33,_xlpm.e,E33,IF(AND(_xlpm.a="",_xlpm.e=""),TRUE,IF(_xlpm.a=emptyCont,AND(ISNUMBER(_xlpm.e),_xlpm.e=0),AND(ISNUMBER(_xlpm.e),_xlpm.e&gt;0,_xlpm.e=INT(_xlpm.e)))))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34 A68 A102 A136 A170 A204 A238 A272 A306 A340" xr:uid="{38C06B02-F7B7-EB4E-86F4-7BF8F62A0BF6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34 B68 B102 B136 B170 B204 B238 B272 B306 B340" xr:uid="{4DCF1EEE-B108-A043-92A8-33B55D8F3F0F}">
      <formula1>INDIRECT(IF($A34 = "", "choose", IF($A34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34 C68 C102 C136 C170 C204 C238 C272 C306 C340" xr:uid="{62BB1197-7517-4B49-8ECE-BCAA6829D960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34 D68 D102 D136 D170 D204 D238 D272 D306 D340" xr:uid="{28FE2C21-79AD-A74D-86CF-5626CD7A71A9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34 E68 E102 E136 E170 E204 E238 E272 E306 E340" xr:uid="{DF69344C-9D16-0949-BFE4-128A0CFE48DE}">
      <formula1>_xlfn.LET(_xlpm.a,A34,_xlpm.e,E34,IF(AND(_xlpm.a="",_xlpm.e=""),TRUE,IF(_xlpm.a=emptyCont,AND(ISNUMBER(_xlpm.e),_xlpm.e=0),AND(ISNUMBER(_xlpm.e),_xlpm.e&gt;0,_xlpm.e=INT(_xlpm.e)))))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40 A74 A108 A142 A176 A210 A244 A278 A312 A346" xr:uid="{1252B6B8-BA9B-6F43-9388-7EC196D9F674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40 B74 B108 B142 B176 B210 B244 B278 B312 B346" xr:uid="{B66943BF-96AB-0745-A7B3-858F76DA793E}">
      <formula1>INDIRECT(IF($A40 = "", "choose", IF($A40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40 C74 C108 C142 C176 C210 C244 C278 C312 C346" xr:uid="{47BE1D87-F2D6-8349-9369-8F70737A6AFD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40 D74 D108 D142 D176 D210 D244 D278 D312 D346" xr:uid="{3438AA0A-AB63-DC4C-8F14-C548F0FE8911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40 E74 E108 E142 E176 E210 E244 E278 E312 E346" xr:uid="{9EF3DACF-59CA-5242-856B-2A326C34D915}">
      <formula1>_xlfn.LET(_xlpm.a,A40,_xlpm.e,E40,IF(AND(_xlpm.a="",_xlpm.e=""),TRUE,IF(_xlpm.a=emptyCont,AND(ISNUMBER(_xlpm.e),_xlpm.e=0),AND(ISNUMBER(_xlpm.e),_xlpm.e&gt;0,_xlpm.e=INT(_xlpm.e)))))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41 A75 A109 A143 A177 A211 A245 A279 A313 A347" xr:uid="{5591F34F-6426-A14A-964C-9209DBBE53E9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41 B75 B109 B143 B177 B211 B245 B279 B313 B347" xr:uid="{084DF1C9-461E-A24E-A529-5E7D822827F8}">
      <formula1>INDIRECT(IF($A41 = "", "choose", IF($A41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41 C75 C109 C143 C177 C211 C245 C279 C313 C347" xr:uid="{7B5D3A28-E580-D549-B1D0-69B43D6CADE0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41 D75 D109 D143 D177 D211 D245 D279 D313 D347" xr:uid="{2190ACE8-B7C1-0C4A-8894-F1F8FEFE288A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41 E75 E109 E143 E177 E211 E245 E279 E313 E347" xr:uid="{572A6D46-49A0-664A-B7FD-0412D7E0B9BA}">
      <formula1>_xlfn.LET(_xlpm.a,A41,_xlpm.e,E41,IF(AND(_xlpm.a="",_xlpm.e=""),TRUE,IF(_xlpm.a=emptyCont,AND(ISNUMBER(_xlpm.e),_xlpm.e=0),AND(ISNUMBER(_xlpm.e),_xlpm.e&gt;0,_xlpm.e=INT(_xlpm.e)))))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42 A76 A110 A144 A178 A212 A246 A280 A314 A348" xr:uid="{4C8BB9FA-2AD2-5C46-BEB9-90E45C26C41A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42 B76 B110 B144 B178 B212 B246 B280 B314 B348" xr:uid="{950768A4-14C5-EC4D-B565-3D4A290AC69F}">
      <formula1>INDIRECT(IF($A42 = "", "choose", IF($A42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42 C76 C110 C144 C178 C212 C246 C280 C314 C348" xr:uid="{F0107CF7-129C-F34C-B2B8-2BEF94AF773C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42 D76 D110 D144 D178 D212 D246 D280 D314 D348" xr:uid="{D996E410-099E-7F49-A324-A14117E6A0A9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42 E76 E110 E144 E178 E212 E246 E280 E314 E348" xr:uid="{F25C1EA3-8E7F-CA49-BB12-E5D3586F25C0}">
      <formula1>_xlfn.LET(_xlpm.a,A42,_xlpm.e,E42,IF(AND(_xlpm.a="",_xlpm.e=""),TRUE,IF(_xlpm.a=emptyCont,AND(ISNUMBER(_xlpm.e),_xlpm.e=0),AND(ISNUMBER(_xlpm.e),_xlpm.e&gt;0,_xlpm.e=INT(_xlpm.e)))))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43 A77 A111 A145 A179 A213 A247 A281 A315 A349" xr:uid="{9A526397-1A5A-6C40-8E0F-4EEF04FE45CE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43 B77 B111 B145 B179 B213 B247 B281 B315 B349" xr:uid="{CD9B38A3-16CC-D748-9930-D820CD324CE7}">
      <formula1>INDIRECT(IF($A43 = "", "choose", IF($A43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43 C77 C111 C145 C179 C213 C247 C281 C315 C349" xr:uid="{D12AA57C-4C83-2241-8948-928686CE4187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43 D77 D111 D145 D179 D213 D247 D281 D315 D349" xr:uid="{F32C84C1-AC51-B446-887D-88F3CF47B6F7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43 E77 E111 E145 E179 E213 E247 E281 E315 E349" xr:uid="{4FBBB42E-7C7C-504F-9F9C-DCFDF6EFACA3}">
      <formula1>_xlfn.LET(_xlpm.a,A43,_xlpm.e,E43,IF(AND(_xlpm.a="",_xlpm.e=""),TRUE,IF(_xlpm.a=emptyCont,AND(ISNUMBER(_xlpm.e),_xlpm.e=0),AND(ISNUMBER(_xlpm.e),_xlpm.e&gt;0,_xlpm.e=INT(_xlpm.e)))))</formula1>
    </dataValidation>
    <dataValidation type="list" allowBlank="1" showInputMessage="1" showErrorMessage="1" errorTitle="Lastin tavararyhmä" error="Valitse tavararyhmä tai tyhjä kuljetusyksikkö" promptTitle="Lastin tavararyhmä" prompt="Valitse tavararyhmä tai tyhjä kuljetusyksikkö" sqref="A44 A78 A112 A146 A180 A214 A248 A282 A316 A350" xr:uid="{1F72D864-F64A-7042-A4C9-36E348066D1C}">
      <formula1>Tavararyhmä</formula1>
    </dataValidation>
    <dataValidation type="list" allowBlank="1" showInputMessage="1" showErrorMessage="1" errorTitle="Kauttakulku" error="Normaaleille tavararyhmille, valitse &quot;Kyllä&quot; tai &quot;Ei&quot; Tyhjille kuljetusyksiköille, valitse &quot;Ei koske&quot;" promptTitle="Kauttakulku" prompt="Transito._x000a__x000a_Valitse &quot;Kyllä&quot; tai &quot;Ei&quot;. Mikäli kyseessä tyhjä kuljetusyksikkö, valitse &quot;Ei koske&quot;." sqref="B44 B78 B112 B146 B180 B214 B248 B282 B316 B350" xr:uid="{47C9A805-FCDA-D34D-820F-3BC88588A50B}">
      <formula1>INDIRECT(IF($A44 = "", "choose", IF($A44 = emptyCont, "na", "yesNo")))</formula1>
    </dataValidation>
    <dataValidation type="list" allowBlank="1" showInputMessage="1" showErrorMessage="1" errorTitle="Kuljetusyksikkötyyppi" error="Valitse vaihtoehdoista" promptTitle="Kuljetusyksikkötyyppi" prompt="Valitse vaihtoehdoista" sqref="C44 C78 C112 C146 C180 C214 C248 C282 C316 C350" xr:uid="{634F0742-01AC-B84D-895D-211DA70F7C19}">
      <formula1>Kuljetusyksikkötyyppi</formula1>
    </dataValidation>
    <dataValidation type="whole" operator="greaterThan" allowBlank="1" showInputMessage="1" showErrorMessage="1" errorTitle="Lukumäärä" error="Kokonaisluku" promptTitle="Lukumäärä" prompt="Syötä tavararyhmään liittyvien kuljetusyksiköiden lukumäärä kokonaislukuna." sqref="D44 D78 D112 D146 D180 D214 D248 D282 D316 D350" xr:uid="{3755A236-595E-6D47-9602-43AC70E5621E}">
      <formula1>0</formula1>
    </dataValidation>
    <dataValidation type="custom" allowBlank="1" showInputMessage="1" showErrorMessage="1" errorTitle="Bruttopaino" error="Kokonaisluku, joka on vähintään 1 tai tyhjillä kuljetuisyksiköillä 0" promptTitle="Bruttopaino" prompt="Syötä lastin bruttopaino kilogrammoina tälle tavararyhmälle ja kuljetusyksiköille._x000a__x000a_Tyhjille kuljetusyksiköille merkitään 0 kilogrammaa." sqref="E44 E78 E112 E146 E180 E214 E248 E282 E316 E350" xr:uid="{69D6FE6A-BB98-5F42-BC13-1C407D147E44}">
      <formula1>_xlfn.LET(_xlpm.a,A44,_xlpm.e,E44,IF(AND(_xlpm.a="",_xlpm.e=""),TRUE,IF(_xlpm.a=emptyCont,AND(ISNUMBER(_xlpm.e),_xlpm.e=0),AND(ISNUMBER(_xlpm.e),_xlpm.e&gt;0,_xlpm.e=INT(_xlpm.e)))))</formula1>
    </dataValidation>
  </dataValidations>
  <pageMargins left="0.7" right="0.7" top="0.75" bottom="0.75" header="0.3" footer="0.3"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Aluksen MMSI" error="Tarkista, että MMSI on 9 merkkiä pitkä numerosarja joka noudattaa MMSI muotoa. Jos numerosarja alkaa nollalla, muotoile ne tekstinä laittamalla ' -merkki alkuun" promptTitle="Aluksen MMSI" prompt="9-merkkiä pitkä oikein muotoiltu MMSI numerosarja, muotoile 0:lla alkavat numerot tekstinä._x000a__x000a_Syötä vähintään yksi näistä kentistä: IMO, MMSI, kutsutunnus, muu alustunniste" xr:uid="{50F7FD77-3396-6E40-BC15-382F8B706FA6}">
          <x14:formula1>
            <xm:f>_xlfn.LET(_xlpm.v,C20,_xlpm.mid,IF(LEFT(_xlpm.v,3)="111",MID(_xlpm.v,4,3),IF(LEFT(_xlpm.v,2)="00",MID(_xlpm.v,3,3),IF(OR(LEFT(_xlpm.v,2)="98",LEFT(_xlpm.v,2)="99"),MID(_xlpm.v,3,3),IF(LEFT(_xlpm.v,1)="0",MID(_xlpm.v,2,3),LEFT(_xlpm.v,3))))),OR(_xlpm.v="0",AND(LEN(_xlpm.v)=9,ISNUMBER(_xlpm.v+0),COUNTIF(MMSI_MID!$A$1:$A$294,--_xlpm.mid)&gt;0)))</xm:f>
          </x14:formula1>
          <xm:sqref>C20 C54 C88 C122 C156 C190 C224 C258 C292 C326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4FF6-0ED5-CB41-A4D1-545443AB4911}">
  <sheetPr codeName="Sheet2"/>
  <dimension ref="A1:A3"/>
  <sheetViews>
    <sheetView workbookViewId="0">
      <pane ySplit="1" topLeftCell="A2" activePane="bottomLeft" state="frozen"/>
      <selection pane="bottomLeft"/>
    </sheetView>
  </sheetViews>
  <sheetFormatPr baseColWidth="10" defaultColWidth="0" defaultRowHeight="16" zeroHeight="1" x14ac:dyDescent="0.2"/>
  <cols>
    <col min="1" max="1" width="19.1640625" bestFit="1" customWidth="1"/>
    <col min="2" max="16384" width="10.83203125" hidden="1"/>
  </cols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DE47-8C2A-1C45-A1C6-88A5BBAF556A}">
  <sheetPr codeName="Sheet3"/>
  <dimension ref="A1:H48"/>
  <sheetViews>
    <sheetView workbookViewId="0">
      <pane ySplit="1" topLeftCell="A2" activePane="bottomLeft" state="frozen"/>
      <selection activeCell="A18" sqref="A18"/>
      <selection pane="bottomLeft"/>
    </sheetView>
  </sheetViews>
  <sheetFormatPr baseColWidth="10" defaultColWidth="0" defaultRowHeight="16" zeroHeight="1" x14ac:dyDescent="0.2"/>
  <cols>
    <col min="1" max="1" width="33.6640625" bestFit="1" customWidth="1"/>
    <col min="2" max="2" width="72.5" style="2" bestFit="1" customWidth="1"/>
    <col min="3" max="8" width="0" hidden="1" customWidth="1"/>
    <col min="9" max="16384" width="33.83203125" hidden="1"/>
  </cols>
  <sheetData>
    <row r="1" spans="1:2" s="1" customFormat="1" x14ac:dyDescent="0.2">
      <c r="A1" s="1" t="s">
        <v>45</v>
      </c>
      <c r="B1" s="3" t="s">
        <v>61</v>
      </c>
    </row>
    <row r="2" spans="1:2" x14ac:dyDescent="0.2">
      <c r="A2" t="s">
        <v>62</v>
      </c>
    </row>
    <row r="3" spans="1:2" x14ac:dyDescent="0.2">
      <c r="A3" t="s">
        <v>63</v>
      </c>
    </row>
    <row r="4" spans="1:2" x14ac:dyDescent="0.2">
      <c r="A4" t="s">
        <v>64</v>
      </c>
    </row>
    <row r="5" spans="1:2" x14ac:dyDescent="0.2">
      <c r="A5" t="s">
        <v>65</v>
      </c>
    </row>
    <row r="6" spans="1:2" x14ac:dyDescent="0.2">
      <c r="A6" t="s">
        <v>66</v>
      </c>
    </row>
    <row r="7" spans="1:2" x14ac:dyDescent="0.2">
      <c r="A7" t="s">
        <v>67</v>
      </c>
    </row>
    <row r="8" spans="1:2" x14ac:dyDescent="0.2">
      <c r="A8" t="s">
        <v>68</v>
      </c>
    </row>
    <row r="9" spans="1:2" x14ac:dyDescent="0.2">
      <c r="A9" t="s">
        <v>69</v>
      </c>
    </row>
    <row r="10" spans="1:2" x14ac:dyDescent="0.2">
      <c r="A10" t="s">
        <v>70</v>
      </c>
    </row>
    <row r="11" spans="1:2" x14ac:dyDescent="0.2">
      <c r="A11" t="s">
        <v>71</v>
      </c>
    </row>
    <row r="12" spans="1:2" x14ac:dyDescent="0.2">
      <c r="A12" t="s">
        <v>72</v>
      </c>
    </row>
    <row r="13" spans="1:2" x14ac:dyDescent="0.2">
      <c r="A13" t="s">
        <v>73</v>
      </c>
    </row>
    <row r="14" spans="1:2" x14ac:dyDescent="0.2">
      <c r="A14" t="s">
        <v>74</v>
      </c>
    </row>
    <row r="15" spans="1:2" x14ac:dyDescent="0.2">
      <c r="A15" t="s">
        <v>75</v>
      </c>
    </row>
    <row r="16" spans="1:2" x14ac:dyDescent="0.2">
      <c r="A16" t="s">
        <v>76</v>
      </c>
    </row>
    <row r="17" spans="1:1" x14ac:dyDescent="0.2">
      <c r="A17" t="s">
        <v>77</v>
      </c>
    </row>
    <row r="18" spans="1:1" x14ac:dyDescent="0.2">
      <c r="A18" t="s">
        <v>78</v>
      </c>
    </row>
    <row r="19" spans="1:1" x14ac:dyDescent="0.2">
      <c r="A19" t="s">
        <v>79</v>
      </c>
    </row>
    <row r="20" spans="1:1" x14ac:dyDescent="0.2">
      <c r="A20" t="s">
        <v>80</v>
      </c>
    </row>
    <row r="21" spans="1:1" x14ac:dyDescent="0.2">
      <c r="A21" t="s">
        <v>81</v>
      </c>
    </row>
    <row r="22" spans="1:1" x14ac:dyDescent="0.2">
      <c r="A22" t="s">
        <v>82</v>
      </c>
    </row>
    <row r="23" spans="1:1" x14ac:dyDescent="0.2">
      <c r="A23" t="s">
        <v>83</v>
      </c>
    </row>
    <row r="24" spans="1:1" x14ac:dyDescent="0.2">
      <c r="A24" t="s">
        <v>84</v>
      </c>
    </row>
    <row r="25" spans="1:1" x14ac:dyDescent="0.2">
      <c r="A25" t="s">
        <v>85</v>
      </c>
    </row>
    <row r="26" spans="1:1" x14ac:dyDescent="0.2">
      <c r="A26" t="s">
        <v>86</v>
      </c>
    </row>
    <row r="27" spans="1:1" x14ac:dyDescent="0.2">
      <c r="A27" t="s">
        <v>87</v>
      </c>
    </row>
    <row r="28" spans="1:1" x14ac:dyDescent="0.2">
      <c r="A28" t="s">
        <v>88</v>
      </c>
    </row>
    <row r="29" spans="1:1" x14ac:dyDescent="0.2">
      <c r="A29" t="s">
        <v>89</v>
      </c>
    </row>
    <row r="30" spans="1:1" x14ac:dyDescent="0.2">
      <c r="A30" t="s">
        <v>90</v>
      </c>
    </row>
    <row r="31" spans="1:1" x14ac:dyDescent="0.2">
      <c r="A31" t="s">
        <v>91</v>
      </c>
    </row>
    <row r="32" spans="1:1" x14ac:dyDescent="0.2">
      <c r="A32" t="s">
        <v>92</v>
      </c>
    </row>
    <row r="33" spans="1:2" x14ac:dyDescent="0.2">
      <c r="A33" t="s">
        <v>93</v>
      </c>
    </row>
    <row r="34" spans="1:2" x14ac:dyDescent="0.2">
      <c r="A34" t="s">
        <v>94</v>
      </c>
    </row>
    <row r="35" spans="1:2" x14ac:dyDescent="0.2">
      <c r="A35" t="s">
        <v>95</v>
      </c>
    </row>
    <row r="36" spans="1:2" x14ac:dyDescent="0.2">
      <c r="A36" t="s">
        <v>96</v>
      </c>
    </row>
    <row r="37" spans="1:2" x14ac:dyDescent="0.2">
      <c r="A37" t="s">
        <v>97</v>
      </c>
    </row>
    <row r="38" spans="1:2" x14ac:dyDescent="0.2">
      <c r="A38" t="s">
        <v>98</v>
      </c>
    </row>
    <row r="39" spans="1:2" x14ac:dyDescent="0.2">
      <c r="A39" t="s">
        <v>99</v>
      </c>
    </row>
    <row r="40" spans="1:2" x14ac:dyDescent="0.2">
      <c r="A40" t="s">
        <v>100</v>
      </c>
    </row>
    <row r="41" spans="1:2" x14ac:dyDescent="0.2">
      <c r="A41" t="s">
        <v>101</v>
      </c>
    </row>
    <row r="42" spans="1:2" x14ac:dyDescent="0.2">
      <c r="A42" t="s">
        <v>102</v>
      </c>
    </row>
    <row r="43" spans="1:2" x14ac:dyDescent="0.2">
      <c r="A43" t="s">
        <v>103</v>
      </c>
    </row>
    <row r="44" spans="1:2" x14ac:dyDescent="0.2">
      <c r="A44" t="s">
        <v>104</v>
      </c>
    </row>
    <row r="45" spans="1:2" x14ac:dyDescent="0.2">
      <c r="A45" t="s">
        <v>105</v>
      </c>
      <c r="B45" s="4" t="s">
        <v>106</v>
      </c>
    </row>
    <row r="46" spans="1:2" x14ac:dyDescent="0.2">
      <c r="A46" t="s">
        <v>107</v>
      </c>
    </row>
    <row r="47" spans="1:2" x14ac:dyDescent="0.2">
      <c r="A47" t="s">
        <v>108</v>
      </c>
    </row>
    <row r="48" spans="1:2" x14ac:dyDescent="0.2">
      <c r="A48" t="s">
        <v>109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D330-4CA3-E445-9F31-BFF309EC171B}">
  <sheetPr codeName="Sheet4"/>
  <dimension ref="A1:XFC5"/>
  <sheetViews>
    <sheetView workbookViewId="0">
      <pane ySplit="1" topLeftCell="A2" activePane="bottomLeft" state="frozen"/>
      <selection activeCell="A18" sqref="A18"/>
      <selection pane="bottomLeft"/>
    </sheetView>
  </sheetViews>
  <sheetFormatPr baseColWidth="10" defaultColWidth="0" defaultRowHeight="16" zeroHeight="1" x14ac:dyDescent="0.2"/>
  <cols>
    <col min="1" max="1" width="22.6640625" customWidth="1"/>
    <col min="2" max="16383" width="10.83203125" hidden="1"/>
    <col min="16384" max="16384" width="12.83203125" hidden="1" customWidth="1"/>
  </cols>
  <sheetData>
    <row r="1" spans="1:1" s="1" customFormat="1" x14ac:dyDescent="0.2">
      <c r="A1" s="1" t="s">
        <v>46</v>
      </c>
    </row>
    <row r="2" spans="1:1" x14ac:dyDescent="0.2">
      <c r="A2" t="s">
        <v>110</v>
      </c>
    </row>
    <row r="3" spans="1:1" x14ac:dyDescent="0.2">
      <c r="A3" t="s">
        <v>111</v>
      </c>
    </row>
    <row r="4" spans="1:1" x14ac:dyDescent="0.2">
      <c r="A4" t="s">
        <v>112</v>
      </c>
    </row>
    <row r="5" spans="1:1" x14ac:dyDescent="0.2">
      <c r="A5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60FD-D0B6-D54A-8E7E-FDE3496E025F}">
  <sheetPr codeName="Sheet5"/>
  <dimension ref="A1:A16"/>
  <sheetViews>
    <sheetView zoomScaleNormal="100" workbookViewId="0">
      <pane ySplit="1" topLeftCell="A2" activePane="bottomLeft" state="frozen"/>
      <selection activeCell="A18" sqref="A18"/>
      <selection pane="bottomLeft" activeCell="A14" sqref="A14"/>
    </sheetView>
  </sheetViews>
  <sheetFormatPr baseColWidth="10" defaultColWidth="0" defaultRowHeight="16" zeroHeight="1" x14ac:dyDescent="0.2"/>
  <cols>
    <col min="1" max="1" width="18.33203125" bestFit="1" customWidth="1"/>
    <col min="2" max="16384" width="10.83203125" hidden="1"/>
  </cols>
  <sheetData>
    <row r="1" spans="1:1" x14ac:dyDescent="0.2">
      <c r="A1" t="s">
        <v>47</v>
      </c>
    </row>
    <row r="2" spans="1:1" x14ac:dyDescent="0.2">
      <c r="A2" s="5" t="s">
        <v>114</v>
      </c>
    </row>
    <row r="3" spans="1:1" x14ac:dyDescent="0.2">
      <c r="A3" s="5" t="s">
        <v>115</v>
      </c>
    </row>
    <row r="4" spans="1:1" x14ac:dyDescent="0.2">
      <c r="A4" s="5" t="s">
        <v>116</v>
      </c>
    </row>
    <row r="5" spans="1:1" x14ac:dyDescent="0.2">
      <c r="A5" s="5" t="s">
        <v>126</v>
      </c>
    </row>
    <row r="6" spans="1:1" x14ac:dyDescent="0.2">
      <c r="A6" s="5" t="s">
        <v>117</v>
      </c>
    </row>
    <row r="7" spans="1:1" x14ac:dyDescent="0.2">
      <c r="A7" s="5" t="s">
        <v>118</v>
      </c>
    </row>
    <row r="8" spans="1:1" x14ac:dyDescent="0.2">
      <c r="A8" s="5" t="s">
        <v>119</v>
      </c>
    </row>
    <row r="9" spans="1:1" x14ac:dyDescent="0.2">
      <c r="A9" s="5" t="s">
        <v>120</v>
      </c>
    </row>
    <row r="10" spans="1:1" x14ac:dyDescent="0.2">
      <c r="A10" s="5" t="s">
        <v>121</v>
      </c>
    </row>
    <row r="11" spans="1:1" x14ac:dyDescent="0.2">
      <c r="A11" s="5" t="s">
        <v>122</v>
      </c>
    </row>
    <row r="12" spans="1:1" x14ac:dyDescent="0.2">
      <c r="A12" s="5" t="s">
        <v>124</v>
      </c>
    </row>
    <row r="13" spans="1:1" x14ac:dyDescent="0.2">
      <c r="A13" s="5" t="s">
        <v>130</v>
      </c>
    </row>
    <row r="14" spans="1:1" x14ac:dyDescent="0.2">
      <c r="A14" s="5" t="s">
        <v>125</v>
      </c>
    </row>
    <row r="15" spans="1:1" x14ac:dyDescent="0.2">
      <c r="A15" s="5" t="s">
        <v>123</v>
      </c>
    </row>
    <row r="16" spans="1:1" x14ac:dyDescent="0.2">
      <c r="A16" s="5" t="s">
        <v>127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BAE0-3458-8042-9202-1B04754DCFFB}">
  <sheetPr codeName="Sheet6"/>
  <dimension ref="A1:B294"/>
  <sheetViews>
    <sheetView topLeftCell="A222" workbookViewId="0">
      <selection activeCell="A294" sqref="A294"/>
    </sheetView>
  </sheetViews>
  <sheetFormatPr baseColWidth="10" defaultColWidth="0" defaultRowHeight="16" zeroHeight="1" x14ac:dyDescent="0.2"/>
  <cols>
    <col min="1" max="1" width="10.83203125" customWidth="1"/>
    <col min="2" max="2" width="0" hidden="1" customWidth="1"/>
    <col min="3" max="16384" width="10.83203125" hidden="1"/>
  </cols>
  <sheetData>
    <row r="1" spans="1:1" x14ac:dyDescent="0.2">
      <c r="A1" s="6">
        <v>201</v>
      </c>
    </row>
    <row r="2" spans="1:1" x14ac:dyDescent="0.2">
      <c r="A2" s="6">
        <v>202</v>
      </c>
    </row>
    <row r="3" spans="1:1" x14ac:dyDescent="0.2">
      <c r="A3" s="6">
        <v>203</v>
      </c>
    </row>
    <row r="4" spans="1:1" x14ac:dyDescent="0.2">
      <c r="A4" s="6">
        <v>204</v>
      </c>
    </row>
    <row r="5" spans="1:1" x14ac:dyDescent="0.2">
      <c r="A5" s="6">
        <v>205</v>
      </c>
    </row>
    <row r="6" spans="1:1" x14ac:dyDescent="0.2">
      <c r="A6" s="6">
        <v>206</v>
      </c>
    </row>
    <row r="7" spans="1:1" x14ac:dyDescent="0.2">
      <c r="A7" s="6">
        <v>207</v>
      </c>
    </row>
    <row r="8" spans="1:1" x14ac:dyDescent="0.2">
      <c r="A8" s="6">
        <v>208</v>
      </c>
    </row>
    <row r="9" spans="1:1" x14ac:dyDescent="0.2">
      <c r="A9" s="6">
        <v>209</v>
      </c>
    </row>
    <row r="10" spans="1:1" x14ac:dyDescent="0.2">
      <c r="A10" s="6">
        <v>210</v>
      </c>
    </row>
    <row r="11" spans="1:1" x14ac:dyDescent="0.2">
      <c r="A11" s="6">
        <v>211</v>
      </c>
    </row>
    <row r="12" spans="1:1" x14ac:dyDescent="0.2">
      <c r="A12" s="6">
        <v>212</v>
      </c>
    </row>
    <row r="13" spans="1:1" x14ac:dyDescent="0.2">
      <c r="A13" s="6">
        <v>213</v>
      </c>
    </row>
    <row r="14" spans="1:1" x14ac:dyDescent="0.2">
      <c r="A14" s="6">
        <v>214</v>
      </c>
    </row>
    <row r="15" spans="1:1" x14ac:dyDescent="0.2">
      <c r="A15" s="6">
        <v>215</v>
      </c>
    </row>
    <row r="16" spans="1:1" x14ac:dyDescent="0.2">
      <c r="A16" s="6">
        <v>216</v>
      </c>
    </row>
    <row r="17" spans="1:1" x14ac:dyDescent="0.2">
      <c r="A17" s="6">
        <v>218</v>
      </c>
    </row>
    <row r="18" spans="1:1" x14ac:dyDescent="0.2">
      <c r="A18" s="6">
        <v>219</v>
      </c>
    </row>
    <row r="19" spans="1:1" x14ac:dyDescent="0.2">
      <c r="A19" s="6">
        <v>220</v>
      </c>
    </row>
    <row r="20" spans="1:1" x14ac:dyDescent="0.2">
      <c r="A20" s="6">
        <v>224</v>
      </c>
    </row>
    <row r="21" spans="1:1" x14ac:dyDescent="0.2">
      <c r="A21" s="6">
        <v>225</v>
      </c>
    </row>
    <row r="22" spans="1:1" x14ac:dyDescent="0.2">
      <c r="A22" s="6">
        <v>226</v>
      </c>
    </row>
    <row r="23" spans="1:1" x14ac:dyDescent="0.2">
      <c r="A23" s="6">
        <v>227</v>
      </c>
    </row>
    <row r="24" spans="1:1" x14ac:dyDescent="0.2">
      <c r="A24" s="6">
        <v>228</v>
      </c>
    </row>
    <row r="25" spans="1:1" x14ac:dyDescent="0.2">
      <c r="A25" s="6">
        <v>229</v>
      </c>
    </row>
    <row r="26" spans="1:1" x14ac:dyDescent="0.2">
      <c r="A26" s="6">
        <v>230</v>
      </c>
    </row>
    <row r="27" spans="1:1" x14ac:dyDescent="0.2">
      <c r="A27" s="6">
        <v>231</v>
      </c>
    </row>
    <row r="28" spans="1:1" x14ac:dyDescent="0.2">
      <c r="A28" s="6">
        <v>232</v>
      </c>
    </row>
    <row r="29" spans="1:1" x14ac:dyDescent="0.2">
      <c r="A29" s="6">
        <v>233</v>
      </c>
    </row>
    <row r="30" spans="1:1" x14ac:dyDescent="0.2">
      <c r="A30" s="6">
        <v>234</v>
      </c>
    </row>
    <row r="31" spans="1:1" x14ac:dyDescent="0.2">
      <c r="A31" s="6">
        <v>235</v>
      </c>
    </row>
    <row r="32" spans="1:1" x14ac:dyDescent="0.2">
      <c r="A32" s="6">
        <v>236</v>
      </c>
    </row>
    <row r="33" spans="1:1" x14ac:dyDescent="0.2">
      <c r="A33" s="6">
        <v>237</v>
      </c>
    </row>
    <row r="34" spans="1:1" x14ac:dyDescent="0.2">
      <c r="A34" s="6">
        <v>238</v>
      </c>
    </row>
    <row r="35" spans="1:1" x14ac:dyDescent="0.2">
      <c r="A35" s="6">
        <v>239</v>
      </c>
    </row>
    <row r="36" spans="1:1" x14ac:dyDescent="0.2">
      <c r="A36" s="6">
        <v>240</v>
      </c>
    </row>
    <row r="37" spans="1:1" x14ac:dyDescent="0.2">
      <c r="A37" s="6">
        <v>241</v>
      </c>
    </row>
    <row r="38" spans="1:1" x14ac:dyDescent="0.2">
      <c r="A38" s="6">
        <v>242</v>
      </c>
    </row>
    <row r="39" spans="1:1" x14ac:dyDescent="0.2">
      <c r="A39" s="6">
        <v>243</v>
      </c>
    </row>
    <row r="40" spans="1:1" x14ac:dyDescent="0.2">
      <c r="A40" s="6">
        <v>244</v>
      </c>
    </row>
    <row r="41" spans="1:1" x14ac:dyDescent="0.2">
      <c r="A41" s="6">
        <v>245</v>
      </c>
    </row>
    <row r="42" spans="1:1" x14ac:dyDescent="0.2">
      <c r="A42" s="6">
        <v>246</v>
      </c>
    </row>
    <row r="43" spans="1:1" x14ac:dyDescent="0.2">
      <c r="A43" s="6">
        <v>247</v>
      </c>
    </row>
    <row r="44" spans="1:1" x14ac:dyDescent="0.2">
      <c r="A44" s="6">
        <v>248</v>
      </c>
    </row>
    <row r="45" spans="1:1" x14ac:dyDescent="0.2">
      <c r="A45" s="6">
        <v>249</v>
      </c>
    </row>
    <row r="46" spans="1:1" x14ac:dyDescent="0.2">
      <c r="A46" s="6">
        <v>250</v>
      </c>
    </row>
    <row r="47" spans="1:1" x14ac:dyDescent="0.2">
      <c r="A47" s="6">
        <v>251</v>
      </c>
    </row>
    <row r="48" spans="1:1" x14ac:dyDescent="0.2">
      <c r="A48" s="6">
        <v>252</v>
      </c>
    </row>
    <row r="49" spans="1:1" x14ac:dyDescent="0.2">
      <c r="A49" s="6">
        <v>253</v>
      </c>
    </row>
    <row r="50" spans="1:1" x14ac:dyDescent="0.2">
      <c r="A50" s="6">
        <v>254</v>
      </c>
    </row>
    <row r="51" spans="1:1" x14ac:dyDescent="0.2">
      <c r="A51" s="6">
        <v>255</v>
      </c>
    </row>
    <row r="52" spans="1:1" x14ac:dyDescent="0.2">
      <c r="A52" s="6">
        <v>256</v>
      </c>
    </row>
    <row r="53" spans="1:1" x14ac:dyDescent="0.2">
      <c r="A53" s="6">
        <v>257</v>
      </c>
    </row>
    <row r="54" spans="1:1" x14ac:dyDescent="0.2">
      <c r="A54" s="6">
        <v>258</v>
      </c>
    </row>
    <row r="55" spans="1:1" x14ac:dyDescent="0.2">
      <c r="A55" s="6">
        <v>259</v>
      </c>
    </row>
    <row r="56" spans="1:1" x14ac:dyDescent="0.2">
      <c r="A56" s="6">
        <v>261</v>
      </c>
    </row>
    <row r="57" spans="1:1" x14ac:dyDescent="0.2">
      <c r="A57" s="6">
        <v>262</v>
      </c>
    </row>
    <row r="58" spans="1:1" x14ac:dyDescent="0.2">
      <c r="A58" s="6">
        <v>263</v>
      </c>
    </row>
    <row r="59" spans="1:1" x14ac:dyDescent="0.2">
      <c r="A59" s="6">
        <v>264</v>
      </c>
    </row>
    <row r="60" spans="1:1" x14ac:dyDescent="0.2">
      <c r="A60" s="6">
        <v>265</v>
      </c>
    </row>
    <row r="61" spans="1:1" x14ac:dyDescent="0.2">
      <c r="A61" s="6">
        <v>266</v>
      </c>
    </row>
    <row r="62" spans="1:1" x14ac:dyDescent="0.2">
      <c r="A62" s="6">
        <v>267</v>
      </c>
    </row>
    <row r="63" spans="1:1" x14ac:dyDescent="0.2">
      <c r="A63" s="6">
        <v>268</v>
      </c>
    </row>
    <row r="64" spans="1:1" x14ac:dyDescent="0.2">
      <c r="A64" s="6">
        <v>269</v>
      </c>
    </row>
    <row r="65" spans="1:1" x14ac:dyDescent="0.2">
      <c r="A65" s="6">
        <v>270</v>
      </c>
    </row>
    <row r="66" spans="1:1" x14ac:dyDescent="0.2">
      <c r="A66" s="6">
        <v>271</v>
      </c>
    </row>
    <row r="67" spans="1:1" x14ac:dyDescent="0.2">
      <c r="A67" s="6">
        <v>272</v>
      </c>
    </row>
    <row r="68" spans="1:1" x14ac:dyDescent="0.2">
      <c r="A68" s="6">
        <v>273</v>
      </c>
    </row>
    <row r="69" spans="1:1" x14ac:dyDescent="0.2">
      <c r="A69" s="6">
        <v>274</v>
      </c>
    </row>
    <row r="70" spans="1:1" x14ac:dyDescent="0.2">
      <c r="A70" s="6">
        <v>275</v>
      </c>
    </row>
    <row r="71" spans="1:1" x14ac:dyDescent="0.2">
      <c r="A71" s="6">
        <v>276</v>
      </c>
    </row>
    <row r="72" spans="1:1" x14ac:dyDescent="0.2">
      <c r="A72" s="6">
        <v>277</v>
      </c>
    </row>
    <row r="73" spans="1:1" x14ac:dyDescent="0.2">
      <c r="A73" s="6">
        <v>278</v>
      </c>
    </row>
    <row r="74" spans="1:1" x14ac:dyDescent="0.2">
      <c r="A74" s="6">
        <v>279</v>
      </c>
    </row>
    <row r="75" spans="1:1" x14ac:dyDescent="0.2">
      <c r="A75" s="6">
        <v>301</v>
      </c>
    </row>
    <row r="76" spans="1:1" x14ac:dyDescent="0.2">
      <c r="A76" s="6">
        <v>303</v>
      </c>
    </row>
    <row r="77" spans="1:1" x14ac:dyDescent="0.2">
      <c r="A77" s="6">
        <v>304</v>
      </c>
    </row>
    <row r="78" spans="1:1" x14ac:dyDescent="0.2">
      <c r="A78" s="6">
        <v>305</v>
      </c>
    </row>
    <row r="79" spans="1:1" x14ac:dyDescent="0.2">
      <c r="A79" s="6">
        <v>306</v>
      </c>
    </row>
    <row r="80" spans="1:1" x14ac:dyDescent="0.2">
      <c r="A80" s="6">
        <v>306</v>
      </c>
    </row>
    <row r="81" spans="1:1" x14ac:dyDescent="0.2">
      <c r="A81" s="6">
        <v>306</v>
      </c>
    </row>
    <row r="82" spans="1:1" x14ac:dyDescent="0.2">
      <c r="A82" s="6">
        <v>307</v>
      </c>
    </row>
    <row r="83" spans="1:1" x14ac:dyDescent="0.2">
      <c r="A83" s="6">
        <v>308</v>
      </c>
    </row>
    <row r="84" spans="1:1" x14ac:dyDescent="0.2">
      <c r="A84" s="6">
        <v>309</v>
      </c>
    </row>
    <row r="85" spans="1:1" x14ac:dyDescent="0.2">
      <c r="A85" s="6">
        <v>310</v>
      </c>
    </row>
    <row r="86" spans="1:1" x14ac:dyDescent="0.2">
      <c r="A86" s="6">
        <v>311</v>
      </c>
    </row>
    <row r="87" spans="1:1" x14ac:dyDescent="0.2">
      <c r="A87" s="6">
        <v>312</v>
      </c>
    </row>
    <row r="88" spans="1:1" x14ac:dyDescent="0.2">
      <c r="A88" s="6">
        <v>314</v>
      </c>
    </row>
    <row r="89" spans="1:1" x14ac:dyDescent="0.2">
      <c r="A89" s="6">
        <v>316</v>
      </c>
    </row>
    <row r="90" spans="1:1" x14ac:dyDescent="0.2">
      <c r="A90" s="6">
        <v>319</v>
      </c>
    </row>
    <row r="91" spans="1:1" x14ac:dyDescent="0.2">
      <c r="A91" s="6">
        <v>321</v>
      </c>
    </row>
    <row r="92" spans="1:1" x14ac:dyDescent="0.2">
      <c r="A92" s="6">
        <v>323</v>
      </c>
    </row>
    <row r="93" spans="1:1" x14ac:dyDescent="0.2">
      <c r="A93" s="6">
        <v>325</v>
      </c>
    </row>
    <row r="94" spans="1:1" x14ac:dyDescent="0.2">
      <c r="A94" s="6">
        <v>327</v>
      </c>
    </row>
    <row r="95" spans="1:1" x14ac:dyDescent="0.2">
      <c r="A95" s="6">
        <v>329</v>
      </c>
    </row>
    <row r="96" spans="1:1" x14ac:dyDescent="0.2">
      <c r="A96" s="6">
        <v>330</v>
      </c>
    </row>
    <row r="97" spans="1:1" x14ac:dyDescent="0.2">
      <c r="A97" s="6">
        <v>331</v>
      </c>
    </row>
    <row r="98" spans="1:1" x14ac:dyDescent="0.2">
      <c r="A98" s="6">
        <v>332</v>
      </c>
    </row>
    <row r="99" spans="1:1" x14ac:dyDescent="0.2">
      <c r="A99" s="6">
        <v>334</v>
      </c>
    </row>
    <row r="100" spans="1:1" x14ac:dyDescent="0.2">
      <c r="A100" s="6">
        <v>336</v>
      </c>
    </row>
    <row r="101" spans="1:1" x14ac:dyDescent="0.2">
      <c r="A101" s="6">
        <v>338</v>
      </c>
    </row>
    <row r="102" spans="1:1" x14ac:dyDescent="0.2">
      <c r="A102" s="6">
        <v>339</v>
      </c>
    </row>
    <row r="103" spans="1:1" x14ac:dyDescent="0.2">
      <c r="A103" s="6">
        <v>341</v>
      </c>
    </row>
    <row r="104" spans="1:1" x14ac:dyDescent="0.2">
      <c r="A104" s="6">
        <v>343</v>
      </c>
    </row>
    <row r="105" spans="1:1" x14ac:dyDescent="0.2">
      <c r="A105" s="6">
        <v>345</v>
      </c>
    </row>
    <row r="106" spans="1:1" x14ac:dyDescent="0.2">
      <c r="A106" s="6">
        <v>347</v>
      </c>
    </row>
    <row r="107" spans="1:1" x14ac:dyDescent="0.2">
      <c r="A107" s="6">
        <v>348</v>
      </c>
    </row>
    <row r="108" spans="1:1" x14ac:dyDescent="0.2">
      <c r="A108" s="6">
        <v>350</v>
      </c>
    </row>
    <row r="109" spans="1:1" x14ac:dyDescent="0.2">
      <c r="A109" s="6">
        <v>351</v>
      </c>
    </row>
    <row r="110" spans="1:1" x14ac:dyDescent="0.2">
      <c r="A110" s="6">
        <v>352</v>
      </c>
    </row>
    <row r="111" spans="1:1" x14ac:dyDescent="0.2">
      <c r="A111" s="6">
        <v>353</v>
      </c>
    </row>
    <row r="112" spans="1:1" x14ac:dyDescent="0.2">
      <c r="A112" s="6">
        <v>354</v>
      </c>
    </row>
    <row r="113" spans="1:1" x14ac:dyDescent="0.2">
      <c r="A113" s="6">
        <v>355</v>
      </c>
    </row>
    <row r="114" spans="1:1" x14ac:dyDescent="0.2">
      <c r="A114" s="6">
        <v>356</v>
      </c>
    </row>
    <row r="115" spans="1:1" x14ac:dyDescent="0.2">
      <c r="A115" s="6">
        <v>357</v>
      </c>
    </row>
    <row r="116" spans="1:1" x14ac:dyDescent="0.2">
      <c r="A116" s="6">
        <v>358</v>
      </c>
    </row>
    <row r="117" spans="1:1" x14ac:dyDescent="0.2">
      <c r="A117" s="6">
        <v>359</v>
      </c>
    </row>
    <row r="118" spans="1:1" x14ac:dyDescent="0.2">
      <c r="A118" s="6">
        <v>361</v>
      </c>
    </row>
    <row r="119" spans="1:1" x14ac:dyDescent="0.2">
      <c r="A119" s="6">
        <v>362</v>
      </c>
    </row>
    <row r="120" spans="1:1" x14ac:dyDescent="0.2">
      <c r="A120" s="6">
        <v>364</v>
      </c>
    </row>
    <row r="121" spans="1:1" x14ac:dyDescent="0.2">
      <c r="A121" s="6">
        <v>366</v>
      </c>
    </row>
    <row r="122" spans="1:1" x14ac:dyDescent="0.2">
      <c r="A122" s="6">
        <v>367</v>
      </c>
    </row>
    <row r="123" spans="1:1" x14ac:dyDescent="0.2">
      <c r="A123" s="6">
        <v>368</v>
      </c>
    </row>
    <row r="124" spans="1:1" x14ac:dyDescent="0.2">
      <c r="A124" s="6">
        <v>369</v>
      </c>
    </row>
    <row r="125" spans="1:1" x14ac:dyDescent="0.2">
      <c r="A125" s="6">
        <v>370</v>
      </c>
    </row>
    <row r="126" spans="1:1" x14ac:dyDescent="0.2">
      <c r="A126" s="6">
        <v>371</v>
      </c>
    </row>
    <row r="127" spans="1:1" x14ac:dyDescent="0.2">
      <c r="A127" s="6">
        <v>372</v>
      </c>
    </row>
    <row r="128" spans="1:1" x14ac:dyDescent="0.2">
      <c r="A128" s="6">
        <v>373</v>
      </c>
    </row>
    <row r="129" spans="1:1" x14ac:dyDescent="0.2">
      <c r="A129" s="6">
        <v>374</v>
      </c>
    </row>
    <row r="130" spans="1:1" x14ac:dyDescent="0.2">
      <c r="A130" s="6">
        <v>375</v>
      </c>
    </row>
    <row r="131" spans="1:1" x14ac:dyDescent="0.2">
      <c r="A131" s="6">
        <v>376</v>
      </c>
    </row>
    <row r="132" spans="1:1" x14ac:dyDescent="0.2">
      <c r="A132" s="6">
        <v>377</v>
      </c>
    </row>
    <row r="133" spans="1:1" x14ac:dyDescent="0.2">
      <c r="A133" s="6">
        <v>378</v>
      </c>
    </row>
    <row r="134" spans="1:1" x14ac:dyDescent="0.2">
      <c r="A134" s="6">
        <v>379</v>
      </c>
    </row>
    <row r="135" spans="1:1" x14ac:dyDescent="0.2">
      <c r="A135" s="6">
        <v>401</v>
      </c>
    </row>
    <row r="136" spans="1:1" x14ac:dyDescent="0.2">
      <c r="A136" s="6">
        <v>403</v>
      </c>
    </row>
    <row r="137" spans="1:1" x14ac:dyDescent="0.2">
      <c r="A137" s="6">
        <v>405</v>
      </c>
    </row>
    <row r="138" spans="1:1" x14ac:dyDescent="0.2">
      <c r="A138" s="6">
        <v>408</v>
      </c>
    </row>
    <row r="139" spans="1:1" x14ac:dyDescent="0.2">
      <c r="A139" s="6">
        <v>410</v>
      </c>
    </row>
    <row r="140" spans="1:1" x14ac:dyDescent="0.2">
      <c r="A140" s="6">
        <v>412</v>
      </c>
    </row>
    <row r="141" spans="1:1" x14ac:dyDescent="0.2">
      <c r="A141" s="6">
        <v>413</v>
      </c>
    </row>
    <row r="142" spans="1:1" x14ac:dyDescent="0.2">
      <c r="A142" s="6">
        <v>414</v>
      </c>
    </row>
    <row r="143" spans="1:1" x14ac:dyDescent="0.2">
      <c r="A143" s="6">
        <v>416</v>
      </c>
    </row>
    <row r="144" spans="1:1" x14ac:dyDescent="0.2">
      <c r="A144" s="6">
        <v>417</v>
      </c>
    </row>
    <row r="145" spans="1:1" x14ac:dyDescent="0.2">
      <c r="A145" s="6">
        <v>419</v>
      </c>
    </row>
    <row r="146" spans="1:1" x14ac:dyDescent="0.2">
      <c r="A146" s="6">
        <v>422</v>
      </c>
    </row>
    <row r="147" spans="1:1" x14ac:dyDescent="0.2">
      <c r="A147" s="6">
        <v>423</v>
      </c>
    </row>
    <row r="148" spans="1:1" x14ac:dyDescent="0.2">
      <c r="A148" s="6">
        <v>425</v>
      </c>
    </row>
    <row r="149" spans="1:1" x14ac:dyDescent="0.2">
      <c r="A149" s="6">
        <v>428</v>
      </c>
    </row>
    <row r="150" spans="1:1" x14ac:dyDescent="0.2">
      <c r="A150" s="6">
        <v>431</v>
      </c>
    </row>
    <row r="151" spans="1:1" x14ac:dyDescent="0.2">
      <c r="A151" s="6">
        <v>432</v>
      </c>
    </row>
    <row r="152" spans="1:1" x14ac:dyDescent="0.2">
      <c r="A152" s="6">
        <v>434</v>
      </c>
    </row>
    <row r="153" spans="1:1" x14ac:dyDescent="0.2">
      <c r="A153" s="6">
        <v>436</v>
      </c>
    </row>
    <row r="154" spans="1:1" x14ac:dyDescent="0.2">
      <c r="A154" s="6">
        <v>437</v>
      </c>
    </row>
    <row r="155" spans="1:1" x14ac:dyDescent="0.2">
      <c r="A155" s="6">
        <v>438</v>
      </c>
    </row>
    <row r="156" spans="1:1" x14ac:dyDescent="0.2">
      <c r="A156" s="6">
        <v>440</v>
      </c>
    </row>
    <row r="157" spans="1:1" x14ac:dyDescent="0.2">
      <c r="A157" s="6">
        <v>441</v>
      </c>
    </row>
    <row r="158" spans="1:1" x14ac:dyDescent="0.2">
      <c r="A158" s="6">
        <v>443</v>
      </c>
    </row>
    <row r="159" spans="1:1" x14ac:dyDescent="0.2">
      <c r="A159" s="6">
        <v>445</v>
      </c>
    </row>
    <row r="160" spans="1:1" x14ac:dyDescent="0.2">
      <c r="A160" s="6">
        <v>447</v>
      </c>
    </row>
    <row r="161" spans="1:1" x14ac:dyDescent="0.2">
      <c r="A161" s="6">
        <v>450</v>
      </c>
    </row>
    <row r="162" spans="1:1" x14ac:dyDescent="0.2">
      <c r="A162" s="6">
        <v>451</v>
      </c>
    </row>
    <row r="163" spans="1:1" x14ac:dyDescent="0.2">
      <c r="A163" s="6">
        <v>453</v>
      </c>
    </row>
    <row r="164" spans="1:1" x14ac:dyDescent="0.2">
      <c r="A164" s="6">
        <v>455</v>
      </c>
    </row>
    <row r="165" spans="1:1" x14ac:dyDescent="0.2">
      <c r="A165" s="6">
        <v>457</v>
      </c>
    </row>
    <row r="166" spans="1:1" x14ac:dyDescent="0.2">
      <c r="A166" s="6">
        <v>459</v>
      </c>
    </row>
    <row r="167" spans="1:1" x14ac:dyDescent="0.2">
      <c r="A167" s="6">
        <v>461</v>
      </c>
    </row>
    <row r="168" spans="1:1" x14ac:dyDescent="0.2">
      <c r="A168" s="6">
        <v>463</v>
      </c>
    </row>
    <row r="169" spans="1:1" x14ac:dyDescent="0.2">
      <c r="A169" s="6">
        <v>466</v>
      </c>
    </row>
    <row r="170" spans="1:1" x14ac:dyDescent="0.2">
      <c r="A170" s="6">
        <v>468</v>
      </c>
    </row>
    <row r="171" spans="1:1" x14ac:dyDescent="0.2">
      <c r="A171" s="6">
        <v>470</v>
      </c>
    </row>
    <row r="172" spans="1:1" x14ac:dyDescent="0.2">
      <c r="A172" s="6">
        <v>471</v>
      </c>
    </row>
    <row r="173" spans="1:1" x14ac:dyDescent="0.2">
      <c r="A173" s="6">
        <v>472</v>
      </c>
    </row>
    <row r="174" spans="1:1" x14ac:dyDescent="0.2">
      <c r="A174" s="6">
        <v>473</v>
      </c>
    </row>
    <row r="175" spans="1:1" x14ac:dyDescent="0.2">
      <c r="A175" s="6">
        <v>475</v>
      </c>
    </row>
    <row r="176" spans="1:1" x14ac:dyDescent="0.2">
      <c r="A176" s="6">
        <v>477</v>
      </c>
    </row>
    <row r="177" spans="1:1" x14ac:dyDescent="0.2">
      <c r="A177" s="6">
        <v>478</v>
      </c>
    </row>
    <row r="178" spans="1:1" x14ac:dyDescent="0.2">
      <c r="A178" s="6">
        <v>501</v>
      </c>
    </row>
    <row r="179" spans="1:1" x14ac:dyDescent="0.2">
      <c r="A179" s="6">
        <v>503</v>
      </c>
    </row>
    <row r="180" spans="1:1" x14ac:dyDescent="0.2">
      <c r="A180" s="6">
        <v>506</v>
      </c>
    </row>
    <row r="181" spans="1:1" x14ac:dyDescent="0.2">
      <c r="A181" s="6">
        <v>508</v>
      </c>
    </row>
    <row r="182" spans="1:1" x14ac:dyDescent="0.2">
      <c r="A182" s="6">
        <v>510</v>
      </c>
    </row>
    <row r="183" spans="1:1" x14ac:dyDescent="0.2">
      <c r="A183" s="6">
        <v>511</v>
      </c>
    </row>
    <row r="184" spans="1:1" x14ac:dyDescent="0.2">
      <c r="A184" s="6">
        <v>512</v>
      </c>
    </row>
    <row r="185" spans="1:1" x14ac:dyDescent="0.2">
      <c r="A185" s="6">
        <v>514</v>
      </c>
    </row>
    <row r="186" spans="1:1" x14ac:dyDescent="0.2">
      <c r="A186" s="6">
        <v>515</v>
      </c>
    </row>
    <row r="187" spans="1:1" x14ac:dyDescent="0.2">
      <c r="A187" s="6">
        <v>516</v>
      </c>
    </row>
    <row r="188" spans="1:1" x14ac:dyDescent="0.2">
      <c r="A188" s="6">
        <v>518</v>
      </c>
    </row>
    <row r="189" spans="1:1" x14ac:dyDescent="0.2">
      <c r="A189" s="6">
        <v>520</v>
      </c>
    </row>
    <row r="190" spans="1:1" x14ac:dyDescent="0.2">
      <c r="A190" s="6">
        <v>523</v>
      </c>
    </row>
    <row r="191" spans="1:1" x14ac:dyDescent="0.2">
      <c r="A191" s="6">
        <v>525</v>
      </c>
    </row>
    <row r="192" spans="1:1" x14ac:dyDescent="0.2">
      <c r="A192" s="6">
        <v>529</v>
      </c>
    </row>
    <row r="193" spans="1:1" x14ac:dyDescent="0.2">
      <c r="A193" s="6">
        <v>531</v>
      </c>
    </row>
    <row r="194" spans="1:1" x14ac:dyDescent="0.2">
      <c r="A194" s="6">
        <v>533</v>
      </c>
    </row>
    <row r="195" spans="1:1" x14ac:dyDescent="0.2">
      <c r="A195" s="6">
        <v>536</v>
      </c>
    </row>
    <row r="196" spans="1:1" x14ac:dyDescent="0.2">
      <c r="A196" s="6">
        <v>538</v>
      </c>
    </row>
    <row r="197" spans="1:1" x14ac:dyDescent="0.2">
      <c r="A197" s="6">
        <v>540</v>
      </c>
    </row>
    <row r="198" spans="1:1" x14ac:dyDescent="0.2">
      <c r="A198" s="6">
        <v>542</v>
      </c>
    </row>
    <row r="199" spans="1:1" x14ac:dyDescent="0.2">
      <c r="A199" s="6">
        <v>544</v>
      </c>
    </row>
    <row r="200" spans="1:1" x14ac:dyDescent="0.2">
      <c r="A200" s="6">
        <v>546</v>
      </c>
    </row>
    <row r="201" spans="1:1" x14ac:dyDescent="0.2">
      <c r="A201" s="6">
        <v>548</v>
      </c>
    </row>
    <row r="202" spans="1:1" x14ac:dyDescent="0.2">
      <c r="A202" s="6">
        <v>550</v>
      </c>
    </row>
    <row r="203" spans="1:1" x14ac:dyDescent="0.2">
      <c r="A203" s="6">
        <v>553</v>
      </c>
    </row>
    <row r="204" spans="1:1" x14ac:dyDescent="0.2">
      <c r="A204" s="6">
        <v>555</v>
      </c>
    </row>
    <row r="205" spans="1:1" x14ac:dyDescent="0.2">
      <c r="A205" s="6">
        <v>557</v>
      </c>
    </row>
    <row r="206" spans="1:1" x14ac:dyDescent="0.2">
      <c r="A206" s="6">
        <v>559</v>
      </c>
    </row>
    <row r="207" spans="1:1" x14ac:dyDescent="0.2">
      <c r="A207" s="6">
        <v>561</v>
      </c>
    </row>
    <row r="208" spans="1:1" x14ac:dyDescent="0.2">
      <c r="A208" s="6">
        <v>563</v>
      </c>
    </row>
    <row r="209" spans="1:1" x14ac:dyDescent="0.2">
      <c r="A209" s="6">
        <v>564</v>
      </c>
    </row>
    <row r="210" spans="1:1" x14ac:dyDescent="0.2">
      <c r="A210" s="6">
        <v>565</v>
      </c>
    </row>
    <row r="211" spans="1:1" x14ac:dyDescent="0.2">
      <c r="A211" s="6">
        <v>566</v>
      </c>
    </row>
    <row r="212" spans="1:1" x14ac:dyDescent="0.2">
      <c r="A212" s="6">
        <v>567</v>
      </c>
    </row>
    <row r="213" spans="1:1" x14ac:dyDescent="0.2">
      <c r="A213" s="6">
        <v>570</v>
      </c>
    </row>
    <row r="214" spans="1:1" x14ac:dyDescent="0.2">
      <c r="A214" s="6">
        <v>572</v>
      </c>
    </row>
    <row r="215" spans="1:1" x14ac:dyDescent="0.2">
      <c r="A215" s="6">
        <v>574</v>
      </c>
    </row>
    <row r="216" spans="1:1" x14ac:dyDescent="0.2">
      <c r="A216" s="6">
        <v>576</v>
      </c>
    </row>
    <row r="217" spans="1:1" x14ac:dyDescent="0.2">
      <c r="A217" s="6">
        <v>577</v>
      </c>
    </row>
    <row r="218" spans="1:1" x14ac:dyDescent="0.2">
      <c r="A218" s="6">
        <v>578</v>
      </c>
    </row>
    <row r="219" spans="1:1" x14ac:dyDescent="0.2">
      <c r="A219" s="6">
        <v>601</v>
      </c>
    </row>
    <row r="220" spans="1:1" x14ac:dyDescent="0.2">
      <c r="A220" s="6">
        <v>603</v>
      </c>
    </row>
    <row r="221" spans="1:1" x14ac:dyDescent="0.2">
      <c r="A221" s="6">
        <v>605</v>
      </c>
    </row>
    <row r="222" spans="1:1" x14ac:dyDescent="0.2">
      <c r="A222" s="6">
        <v>607</v>
      </c>
    </row>
    <row r="223" spans="1:1" x14ac:dyDescent="0.2">
      <c r="A223" s="6">
        <v>608</v>
      </c>
    </row>
    <row r="224" spans="1:1" x14ac:dyDescent="0.2">
      <c r="A224" s="6">
        <v>609</v>
      </c>
    </row>
    <row r="225" spans="1:1" x14ac:dyDescent="0.2">
      <c r="A225" s="6">
        <v>610</v>
      </c>
    </row>
    <row r="226" spans="1:1" x14ac:dyDescent="0.2">
      <c r="A226" s="6">
        <v>611</v>
      </c>
    </row>
    <row r="227" spans="1:1" x14ac:dyDescent="0.2">
      <c r="A227" s="6">
        <v>612</v>
      </c>
    </row>
    <row r="228" spans="1:1" x14ac:dyDescent="0.2">
      <c r="A228" s="6">
        <v>613</v>
      </c>
    </row>
    <row r="229" spans="1:1" x14ac:dyDescent="0.2">
      <c r="A229" s="6">
        <v>615</v>
      </c>
    </row>
    <row r="230" spans="1:1" x14ac:dyDescent="0.2">
      <c r="A230" s="6">
        <v>616</v>
      </c>
    </row>
    <row r="231" spans="1:1" x14ac:dyDescent="0.2">
      <c r="A231" s="6">
        <v>617</v>
      </c>
    </row>
    <row r="232" spans="1:1" x14ac:dyDescent="0.2">
      <c r="A232" s="6">
        <v>618</v>
      </c>
    </row>
    <row r="233" spans="1:1" x14ac:dyDescent="0.2">
      <c r="A233" s="6">
        <v>619</v>
      </c>
    </row>
    <row r="234" spans="1:1" x14ac:dyDescent="0.2">
      <c r="A234" s="6">
        <v>620</v>
      </c>
    </row>
    <row r="235" spans="1:1" x14ac:dyDescent="0.2">
      <c r="A235" s="6">
        <v>621</v>
      </c>
    </row>
    <row r="236" spans="1:1" x14ac:dyDescent="0.2">
      <c r="A236" s="6">
        <v>622</v>
      </c>
    </row>
    <row r="237" spans="1:1" x14ac:dyDescent="0.2">
      <c r="A237" s="6">
        <v>624</v>
      </c>
    </row>
    <row r="238" spans="1:1" x14ac:dyDescent="0.2">
      <c r="A238" s="6">
        <v>625</v>
      </c>
    </row>
    <row r="239" spans="1:1" x14ac:dyDescent="0.2">
      <c r="A239" s="6">
        <v>626</v>
      </c>
    </row>
    <row r="240" spans="1:1" x14ac:dyDescent="0.2">
      <c r="A240" s="6">
        <v>627</v>
      </c>
    </row>
    <row r="241" spans="1:1" x14ac:dyDescent="0.2">
      <c r="A241" s="6">
        <v>629</v>
      </c>
    </row>
    <row r="242" spans="1:1" x14ac:dyDescent="0.2">
      <c r="A242" s="6">
        <v>630</v>
      </c>
    </row>
    <row r="243" spans="1:1" x14ac:dyDescent="0.2">
      <c r="A243" s="6">
        <v>631</v>
      </c>
    </row>
    <row r="244" spans="1:1" x14ac:dyDescent="0.2">
      <c r="A244" s="6">
        <v>632</v>
      </c>
    </row>
    <row r="245" spans="1:1" x14ac:dyDescent="0.2">
      <c r="A245" s="6">
        <v>633</v>
      </c>
    </row>
    <row r="246" spans="1:1" x14ac:dyDescent="0.2">
      <c r="A246" s="6">
        <v>634</v>
      </c>
    </row>
    <row r="247" spans="1:1" x14ac:dyDescent="0.2">
      <c r="A247" s="6">
        <v>635</v>
      </c>
    </row>
    <row r="248" spans="1:1" x14ac:dyDescent="0.2">
      <c r="A248" s="6">
        <v>636</v>
      </c>
    </row>
    <row r="249" spans="1:1" x14ac:dyDescent="0.2">
      <c r="A249" s="6">
        <v>637</v>
      </c>
    </row>
    <row r="250" spans="1:1" x14ac:dyDescent="0.2">
      <c r="A250" s="6">
        <v>638</v>
      </c>
    </row>
    <row r="251" spans="1:1" x14ac:dyDescent="0.2">
      <c r="A251" s="6">
        <v>642</v>
      </c>
    </row>
    <row r="252" spans="1:1" x14ac:dyDescent="0.2">
      <c r="A252" s="6">
        <v>644</v>
      </c>
    </row>
    <row r="253" spans="1:1" x14ac:dyDescent="0.2">
      <c r="A253" s="6">
        <v>645</v>
      </c>
    </row>
    <row r="254" spans="1:1" x14ac:dyDescent="0.2">
      <c r="A254" s="6">
        <v>647</v>
      </c>
    </row>
    <row r="255" spans="1:1" x14ac:dyDescent="0.2">
      <c r="A255" s="6">
        <v>649</v>
      </c>
    </row>
    <row r="256" spans="1:1" x14ac:dyDescent="0.2">
      <c r="A256" s="6">
        <v>650</v>
      </c>
    </row>
    <row r="257" spans="1:1" x14ac:dyDescent="0.2">
      <c r="A257" s="6">
        <v>654</v>
      </c>
    </row>
    <row r="258" spans="1:1" x14ac:dyDescent="0.2">
      <c r="A258" s="6">
        <v>655</v>
      </c>
    </row>
    <row r="259" spans="1:1" x14ac:dyDescent="0.2">
      <c r="A259" s="6">
        <v>656</v>
      </c>
    </row>
    <row r="260" spans="1:1" x14ac:dyDescent="0.2">
      <c r="A260" s="6">
        <v>657</v>
      </c>
    </row>
    <row r="261" spans="1:1" x14ac:dyDescent="0.2">
      <c r="A261" s="6">
        <v>659</v>
      </c>
    </row>
    <row r="262" spans="1:1" x14ac:dyDescent="0.2">
      <c r="A262" s="6">
        <v>660</v>
      </c>
    </row>
    <row r="263" spans="1:1" x14ac:dyDescent="0.2">
      <c r="A263" s="6">
        <v>661</v>
      </c>
    </row>
    <row r="264" spans="1:1" x14ac:dyDescent="0.2">
      <c r="A264" s="6">
        <v>662</v>
      </c>
    </row>
    <row r="265" spans="1:1" x14ac:dyDescent="0.2">
      <c r="A265" s="6">
        <v>663</v>
      </c>
    </row>
    <row r="266" spans="1:1" x14ac:dyDescent="0.2">
      <c r="A266" s="6">
        <v>664</v>
      </c>
    </row>
    <row r="267" spans="1:1" x14ac:dyDescent="0.2">
      <c r="A267" s="6">
        <v>665</v>
      </c>
    </row>
    <row r="268" spans="1:1" x14ac:dyDescent="0.2">
      <c r="A268" s="6">
        <v>666</v>
      </c>
    </row>
    <row r="269" spans="1:1" x14ac:dyDescent="0.2">
      <c r="A269" s="6">
        <v>667</v>
      </c>
    </row>
    <row r="270" spans="1:1" x14ac:dyDescent="0.2">
      <c r="A270" s="6">
        <v>668</v>
      </c>
    </row>
    <row r="271" spans="1:1" x14ac:dyDescent="0.2">
      <c r="A271" s="6">
        <v>669</v>
      </c>
    </row>
    <row r="272" spans="1:1" x14ac:dyDescent="0.2">
      <c r="A272" s="6">
        <v>670</v>
      </c>
    </row>
    <row r="273" spans="1:1" x14ac:dyDescent="0.2">
      <c r="A273" s="6">
        <v>671</v>
      </c>
    </row>
    <row r="274" spans="1:1" x14ac:dyDescent="0.2">
      <c r="A274" s="6">
        <v>672</v>
      </c>
    </row>
    <row r="275" spans="1:1" x14ac:dyDescent="0.2">
      <c r="A275" s="6">
        <v>674</v>
      </c>
    </row>
    <row r="276" spans="1:1" x14ac:dyDescent="0.2">
      <c r="A276" s="6">
        <v>675</v>
      </c>
    </row>
    <row r="277" spans="1:1" x14ac:dyDescent="0.2">
      <c r="A277" s="6">
        <v>676</v>
      </c>
    </row>
    <row r="278" spans="1:1" x14ac:dyDescent="0.2">
      <c r="A278" s="6">
        <v>677</v>
      </c>
    </row>
    <row r="279" spans="1:1" x14ac:dyDescent="0.2">
      <c r="A279" s="6">
        <v>678</v>
      </c>
    </row>
    <row r="280" spans="1:1" x14ac:dyDescent="0.2">
      <c r="A280" s="6">
        <v>679</v>
      </c>
    </row>
    <row r="281" spans="1:1" x14ac:dyDescent="0.2">
      <c r="A281" s="6">
        <v>701</v>
      </c>
    </row>
    <row r="282" spans="1:1" x14ac:dyDescent="0.2">
      <c r="A282" s="6">
        <v>710</v>
      </c>
    </row>
    <row r="283" spans="1:1" x14ac:dyDescent="0.2">
      <c r="A283" s="6">
        <v>720</v>
      </c>
    </row>
    <row r="284" spans="1:1" x14ac:dyDescent="0.2">
      <c r="A284" s="6">
        <v>725</v>
      </c>
    </row>
    <row r="285" spans="1:1" x14ac:dyDescent="0.2">
      <c r="A285" s="6">
        <v>730</v>
      </c>
    </row>
    <row r="286" spans="1:1" x14ac:dyDescent="0.2">
      <c r="A286" s="6">
        <v>735</v>
      </c>
    </row>
    <row r="287" spans="1:1" x14ac:dyDescent="0.2">
      <c r="A287" s="6">
        <v>740</v>
      </c>
    </row>
    <row r="288" spans="1:1" x14ac:dyDescent="0.2">
      <c r="A288" s="6">
        <v>745</v>
      </c>
    </row>
    <row r="289" spans="1:1" x14ac:dyDescent="0.2">
      <c r="A289" s="6">
        <v>750</v>
      </c>
    </row>
    <row r="290" spans="1:1" x14ac:dyDescent="0.2">
      <c r="A290" s="6">
        <v>755</v>
      </c>
    </row>
    <row r="291" spans="1:1" x14ac:dyDescent="0.2">
      <c r="A291" s="6">
        <v>760</v>
      </c>
    </row>
    <row r="292" spans="1:1" x14ac:dyDescent="0.2">
      <c r="A292" s="6">
        <v>765</v>
      </c>
    </row>
    <row r="293" spans="1:1" x14ac:dyDescent="0.2">
      <c r="A293" s="6">
        <v>770</v>
      </c>
    </row>
    <row r="294" spans="1:1" x14ac:dyDescent="0.2">
      <c r="A294" s="6">
        <v>775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340B2DF21B94EA82F86C5F89131BE" ma:contentTypeVersion="18" ma:contentTypeDescription="Create a new document." ma:contentTypeScope="" ma:versionID="e9c06b69253a865fa9c7e1d3fe911828">
  <xsd:schema xmlns:xsd="http://www.w3.org/2001/XMLSchema" xmlns:xs="http://www.w3.org/2001/XMLSchema" xmlns:p="http://schemas.microsoft.com/office/2006/metadata/properties" xmlns:ns2="7d4d9506-7479-4507-9c0c-e6c1a6471f96" xmlns:ns3="251f69fa-f6d2-4eb1-a94c-62cf5453aa8d" targetNamespace="http://schemas.microsoft.com/office/2006/metadata/properties" ma:root="true" ma:fieldsID="e6bc1192f55e237fcd359b143f47be38" ns2:_="" ns3:_="">
    <xsd:import namespace="7d4d9506-7479-4507-9c0c-e6c1a6471f96"/>
    <xsd:import namespace="251f69fa-f6d2-4eb1-a94c-62cf5453aa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Kok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d9506-7479-4507-9c0c-e6c1a6471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c4ac7b-f7b7-41af-892d-efa2b28cf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ko" ma:index="25" nillable="true" ma:displayName="Koko" ma:format="Dropdown" ma:internalName="Kok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f69fa-f6d2-4eb1-a94c-62cf5453aa8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ko xmlns="7d4d9506-7479-4507-9c0c-e6c1a6471f96" xsi:nil="true"/>
    <lcf76f155ced4ddcb4097134ff3c332f xmlns="7d4d9506-7479-4507-9c0c-e6c1a6471f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150638-93B8-4105-9E3C-4D46D24871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346884-3C30-487A-B0BE-CC5CA8B14E23}"/>
</file>

<file path=customXml/itemProps3.xml><?xml version="1.0" encoding="utf-8"?>
<ds:datastoreItem xmlns:ds="http://schemas.openxmlformats.org/officeDocument/2006/customXml" ds:itemID="{3A0914D5-C7EB-4871-ACD5-045BB841993D}">
  <ds:schemaRefs>
    <ds:schemaRef ds:uri="http://schemas.microsoft.com/office/2006/metadata/properties"/>
    <ds:schemaRef ds:uri="http://schemas.microsoft.com/office/infopath/2007/PartnerControls"/>
    <ds:schemaRef ds:uri="7d4d9506-7479-4507-9c0c-e6c1a6471f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Satamaraportti</vt:lpstr>
      <vt:lpstr>Liikennetyyppi</vt:lpstr>
      <vt:lpstr>Tavararyhmä</vt:lpstr>
      <vt:lpstr>Kauttakulku</vt:lpstr>
      <vt:lpstr>Kuljetusyksikkötyyppi</vt:lpstr>
      <vt:lpstr>MMSI_MID</vt:lpstr>
      <vt:lpstr>choose</vt:lpstr>
      <vt:lpstr>emptyCont</vt:lpstr>
      <vt:lpstr>Kuljetusyksikkötyyppi</vt:lpstr>
      <vt:lpstr>Liikennetyyppi</vt:lpstr>
      <vt:lpstr>na</vt:lpstr>
      <vt:lpstr>Tavararyhmä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Mikko Tapionlinna</dc:creator>
  <cp:keywords/>
  <dc:description/>
  <cp:lastModifiedBy>Mikko Tapionlinna</cp:lastModifiedBy>
  <cp:revision/>
  <dcterms:created xsi:type="dcterms:W3CDTF">2025-09-15T10:29:40Z</dcterms:created>
  <dcterms:modified xsi:type="dcterms:W3CDTF">2026-05-28T12:14:30Z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0x010100CCA340B2DF21B94EA82F86C5F89131BE</vt:lpwstr>
  </property>
  <property fmtid="{D5CDD505-2E9C-101B-9397-08002B2CF9AE}" pid="3" name="MediaServiceImageTags">
    <vt:lpwstr/>
  </property>
</Properties>
</file>